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ckegan/Downloads/"/>
    </mc:Choice>
  </mc:AlternateContent>
  <xr:revisionPtr revIDLastSave="0" documentId="13_ncr:1_{1CE6263C-1950-7F40-8643-AE74DEC86AA2}" xr6:coauthVersionLast="47" xr6:coauthVersionMax="47" xr10:uidLastSave="{00000000-0000-0000-0000-000000000000}"/>
  <bookViews>
    <workbookView xWindow="0" yWindow="660" windowWidth="29400" windowHeight="18460" xr2:uid="{17A72552-4E75-5842-A7F6-23D2B6CB8788}"/>
  </bookViews>
  <sheets>
    <sheet name="Calculator General" sheetId="22" r:id="rId1"/>
    <sheet name="Calculator Solar" sheetId="26" r:id="rId2"/>
    <sheet name="EER premium" sheetId="25" r:id="rId3"/>
    <sheet name="Version control" sheetId="27" r:id="rId4"/>
  </sheets>
  <definedNames>
    <definedName name="AvYrlykWh" localSheetId="0">'Calculator General'!$L$4</definedName>
    <definedName name="AvYrlykWh" localSheetId="1">'Calculator Solar'!$J$14</definedName>
    <definedName name="AvYrlykWh">#REF!</definedName>
    <definedName name="Daily_gen">'Calculator Solar'!$J$6</definedName>
    <definedName name="DailyUse">'Calculator Solar'!$J$15</definedName>
    <definedName name="Feed_in">'Calculator Solar'!$J$11</definedName>
    <definedName name="GridPct">'Calculator General'!$L$7</definedName>
    <definedName name="Hourly_gen">'Calculator Solar'!$J$9</definedName>
    <definedName name="InstallPrice">'Calculator Solar'!$J$7</definedName>
    <definedName name="Intensity">'Calculator General'!$L$6</definedName>
    <definedName name="kWh_cost" localSheetId="1">'Calculator Solar'!$J$19</definedName>
    <definedName name="kWh_cost">'Calculator General'!$L$5</definedName>
    <definedName name="kWh_solar">'Calculator General'!$J$22</definedName>
    <definedName name="NswCleanPct">'Calculator Solar'!$J$18</definedName>
    <definedName name="OwnElecPct">'Calculator Solar'!$J$10</definedName>
    <definedName name="PctFedIn">'Calculator Solar'!$J$12</definedName>
    <definedName name="System_kW">'Calculator Solar'!$J$8</definedName>
    <definedName name="UpFrontCost">'Calculator Solar'!$J$5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22" l="1"/>
  <c r="D40" i="22"/>
  <c r="D39" i="22"/>
  <c r="D38" i="22"/>
  <c r="D37" i="22"/>
  <c r="D36" i="22"/>
  <c r="D35" i="22"/>
  <c r="D33" i="22"/>
  <c r="D32" i="22"/>
  <c r="D27" i="22"/>
  <c r="D26" i="22"/>
  <c r="D25" i="22"/>
  <c r="D24" i="22"/>
  <c r="D23" i="22"/>
  <c r="D22" i="22"/>
  <c r="D21" i="22"/>
  <c r="D20" i="22"/>
  <c r="D19" i="22"/>
  <c r="D18" i="22"/>
  <c r="D17" i="22"/>
  <c r="D16" i="22"/>
  <c r="D15" i="22"/>
  <c r="D11" i="22"/>
  <c r="L11" i="22"/>
  <c r="C19" i="25" l="1"/>
  <c r="C20" i="25"/>
  <c r="C21" i="25"/>
  <c r="C22" i="25"/>
  <c r="C23" i="25"/>
  <c r="C24" i="25"/>
  <c r="C25" i="25"/>
  <c r="C18" i="25"/>
  <c r="C5" i="25" l="1"/>
  <c r="J5" i="26" l="1"/>
  <c r="J14" i="26" l="1"/>
  <c r="E33" i="22" l="1"/>
  <c r="F41" i="22" l="1"/>
  <c r="F40" i="22"/>
  <c r="F38" i="22"/>
  <c r="F36" i="22"/>
  <c r="F24" i="22"/>
  <c r="F23" i="22"/>
  <c r="F21" i="22"/>
  <c r="F17" i="22"/>
  <c r="E11" i="22"/>
  <c r="E27" i="22"/>
  <c r="F25" i="22" l="1"/>
  <c r="L6" i="22"/>
  <c r="K43" i="22" l="1"/>
  <c r="K45" i="22" s="1"/>
  <c r="J24" i="22"/>
  <c r="J23" i="22"/>
  <c r="J22" i="22"/>
  <c r="J21" i="22"/>
  <c r="J20" i="22"/>
  <c r="J19" i="22"/>
  <c r="J18" i="22"/>
  <c r="J17" i="22"/>
  <c r="J16" i="22"/>
  <c r="J11" i="22"/>
  <c r="J43" i="22" l="1"/>
  <c r="J15" i="26"/>
  <c r="J21" i="26"/>
  <c r="L7" i="22" s="1"/>
  <c r="J6" i="26"/>
  <c r="D5" i="26" s="1"/>
  <c r="F33" i="22" l="1"/>
  <c r="F27" i="22"/>
  <c r="F11" i="22"/>
  <c r="H5" i="26"/>
  <c r="L5" i="22" s="1"/>
  <c r="G11" i="22" s="1"/>
  <c r="E5" i="26"/>
  <c r="J20" i="26"/>
  <c r="B5" i="26" s="1"/>
  <c r="G27" i="22" l="1"/>
  <c r="F5" i="26"/>
  <c r="C5" i="26"/>
  <c r="C13" i="25"/>
  <c r="C7" i="25"/>
  <c r="C8" i="25"/>
  <c r="C9" i="25"/>
  <c r="C10" i="25"/>
  <c r="C11" i="25"/>
  <c r="C12" i="25"/>
  <c r="C6" i="25"/>
  <c r="H27" i="22" l="1"/>
  <c r="I27" i="22"/>
  <c r="F68" i="22" l="1"/>
  <c r="F72" i="22"/>
  <c r="F55" i="22"/>
  <c r="F67" i="22"/>
  <c r="F54" i="22"/>
  <c r="F66" i="22"/>
  <c r="F63" i="22"/>
  <c r="F58" i="22"/>
  <c r="F75" i="22"/>
  <c r="F70" i="22"/>
  <c r="F69" i="22"/>
  <c r="F71" i="22"/>
  <c r="F65" i="22"/>
  <c r="F73" i="22"/>
  <c r="F56" i="22"/>
  <c r="F74" i="22"/>
  <c r="F60" i="22"/>
  <c r="F53" i="22"/>
  <c r="F59" i="22"/>
  <c r="F62" i="22"/>
  <c r="F57" i="22"/>
  <c r="F61" i="22"/>
  <c r="F64" i="22"/>
  <c r="F76" i="22"/>
  <c r="F77" i="22"/>
  <c r="E79" i="22"/>
  <c r="D79" i="22"/>
  <c r="N64" i="22"/>
  <c r="L64" i="22"/>
  <c r="E24" i="22" s="1"/>
  <c r="G24" i="22" s="1"/>
  <c r="N61" i="22"/>
  <c r="L61" i="22"/>
  <c r="E23" i="22" s="1"/>
  <c r="G23" i="22" s="1"/>
  <c r="I23" i="22" s="1"/>
  <c r="N57" i="22"/>
  <c r="L57" i="22"/>
  <c r="E38" i="22" s="1"/>
  <c r="G38" i="22" s="1"/>
  <c r="N62" i="22"/>
  <c r="L62" i="22"/>
  <c r="N59" i="22"/>
  <c r="L59" i="22"/>
  <c r="N53" i="22"/>
  <c r="L53" i="22"/>
  <c r="E21" i="22" s="1"/>
  <c r="G21" i="22" s="1"/>
  <c r="N60" i="22"/>
  <c r="L60" i="22"/>
  <c r="E40" i="22" s="1"/>
  <c r="G40" i="22" s="1"/>
  <c r="N74" i="22"/>
  <c r="L74" i="22"/>
  <c r="N56" i="22"/>
  <c r="L56" i="22"/>
  <c r="F19" i="22" s="1"/>
  <c r="E19" i="22" s="1"/>
  <c r="G19" i="22" s="1"/>
  <c r="N73" i="22"/>
  <c r="L73" i="22"/>
  <c r="N65" i="22"/>
  <c r="L65" i="22"/>
  <c r="E36" i="22" s="1"/>
  <c r="G36" i="22" s="1"/>
  <c r="N71" i="22"/>
  <c r="L71" i="22"/>
  <c r="F18" i="22" s="1"/>
  <c r="N69" i="22"/>
  <c r="L69" i="22"/>
  <c r="E17" i="22" s="1"/>
  <c r="G17" i="22" s="1"/>
  <c r="N70" i="22"/>
  <c r="L70" i="22"/>
  <c r="N75" i="22"/>
  <c r="L75" i="22"/>
  <c r="N58" i="22"/>
  <c r="L58" i="22"/>
  <c r="E41" i="22" s="1"/>
  <c r="G41" i="22" s="1"/>
  <c r="N63" i="22"/>
  <c r="L63" i="22"/>
  <c r="N66" i="22"/>
  <c r="L66" i="22"/>
  <c r="G33" i="22" s="1"/>
  <c r="I33" i="22" s="1"/>
  <c r="N54" i="22"/>
  <c r="L54" i="22"/>
  <c r="N67" i="22"/>
  <c r="L67" i="22"/>
  <c r="K67" i="22"/>
  <c r="N55" i="22"/>
  <c r="L55" i="22"/>
  <c r="N72" i="22"/>
  <c r="L72" i="22"/>
  <c r="E25" i="22" s="1"/>
  <c r="G25" i="22" s="1"/>
  <c r="N68" i="22"/>
  <c r="L68" i="22"/>
  <c r="F20" i="22" l="1"/>
  <c r="E20" i="22" s="1"/>
  <c r="G20" i="22" s="1"/>
  <c r="F15" i="22"/>
  <c r="E15" i="22" s="1"/>
  <c r="G15" i="22" s="1"/>
  <c r="F35" i="22"/>
  <c r="E35" i="22" s="1"/>
  <c r="G35" i="22" s="1"/>
  <c r="F39" i="22"/>
  <c r="E39" i="22" s="1"/>
  <c r="G39" i="22" s="1"/>
  <c r="F32" i="22"/>
  <c r="E32" i="22" s="1"/>
  <c r="G32" i="22" s="1"/>
  <c r="F37" i="22"/>
  <c r="E37" i="22" s="1"/>
  <c r="G37" i="22" s="1"/>
  <c r="F22" i="22"/>
  <c r="E22" i="22" s="1"/>
  <c r="G22" i="22" s="1"/>
  <c r="F26" i="22"/>
  <c r="E26" i="22" s="1"/>
  <c r="G26" i="22" s="1"/>
  <c r="F16" i="22"/>
  <c r="H40" i="22"/>
  <c r="H41" i="22"/>
  <c r="H38" i="22"/>
  <c r="H36" i="22"/>
  <c r="H25" i="22"/>
  <c r="I17" i="22"/>
  <c r="I21" i="22"/>
  <c r="E18" i="22"/>
  <c r="H23" i="22"/>
  <c r="H17" i="22"/>
  <c r="H33" i="22"/>
  <c r="H21" i="22"/>
  <c r="H24" i="22"/>
  <c r="O69" i="22"/>
  <c r="O60" i="22"/>
  <c r="O64" i="22"/>
  <c r="O54" i="22"/>
  <c r="F79" i="22"/>
  <c r="G79" i="22" s="1"/>
  <c r="L76" i="22"/>
  <c r="L77" i="22"/>
  <c r="O55" i="22"/>
  <c r="O53" i="22"/>
  <c r="O56" i="22"/>
  <c r="O63" i="22"/>
  <c r="O59" i="22"/>
  <c r="O68" i="22"/>
  <c r="O65" i="22"/>
  <c r="O71" i="22"/>
  <c r="O58" i="22"/>
  <c r="O73" i="22"/>
  <c r="O72" i="22"/>
  <c r="O75" i="22"/>
  <c r="O67" i="22"/>
  <c r="O70" i="22"/>
  <c r="O62" i="22"/>
  <c r="O57" i="22"/>
  <c r="O66" i="22"/>
  <c r="O74" i="22"/>
  <c r="O61" i="22"/>
  <c r="H11" i="22"/>
  <c r="H35" i="22" l="1"/>
  <c r="F43" i="22"/>
  <c r="E16" i="22"/>
  <c r="G16" i="22" s="1"/>
  <c r="H37" i="22"/>
  <c r="I41" i="22"/>
  <c r="I35" i="22"/>
  <c r="I37" i="22"/>
  <c r="I25" i="22"/>
  <c r="I36" i="22"/>
  <c r="I40" i="22"/>
  <c r="I38" i="22"/>
  <c r="G18" i="22"/>
  <c r="H18" i="22" s="1"/>
  <c r="I24" i="22"/>
  <c r="I11" i="22"/>
  <c r="M61" i="22"/>
  <c r="L23" i="22" s="1"/>
  <c r="M63" i="22"/>
  <c r="M66" i="22"/>
  <c r="G60" i="22"/>
  <c r="G57" i="22"/>
  <c r="M70" i="22"/>
  <c r="L37" i="22" s="1"/>
  <c r="G72" i="22"/>
  <c r="G73" i="22"/>
  <c r="M62" i="22"/>
  <c r="M57" i="22"/>
  <c r="L38" i="22" s="1"/>
  <c r="M73" i="22"/>
  <c r="G58" i="22"/>
  <c r="G62" i="22"/>
  <c r="M68" i="22"/>
  <c r="G59" i="22"/>
  <c r="M58" i="22"/>
  <c r="L41" i="22" s="1"/>
  <c r="M56" i="22"/>
  <c r="G56" i="22"/>
  <c r="G54" i="22"/>
  <c r="G75" i="22"/>
  <c r="G55" i="22"/>
  <c r="M71" i="22"/>
  <c r="L18" i="22" s="1"/>
  <c r="G70" i="22"/>
  <c r="G68" i="22"/>
  <c r="M74" i="22"/>
  <c r="M54" i="22"/>
  <c r="G67" i="22"/>
  <c r="G69" i="22"/>
  <c r="M60" i="22"/>
  <c r="L40" i="22" s="1"/>
  <c r="G74" i="22"/>
  <c r="G64" i="22"/>
  <c r="M69" i="22"/>
  <c r="L17" i="22" s="1"/>
  <c r="M55" i="22"/>
  <c r="M59" i="22"/>
  <c r="G63" i="22"/>
  <c r="G71" i="22"/>
  <c r="M72" i="22"/>
  <c r="L25" i="22" s="1"/>
  <c r="M75" i="22"/>
  <c r="L35" i="22" s="1"/>
  <c r="G61" i="22"/>
  <c r="G65" i="22"/>
  <c r="G66" i="22"/>
  <c r="G77" i="22"/>
  <c r="G53" i="22"/>
  <c r="M64" i="22"/>
  <c r="L24" i="22" s="1"/>
  <c r="M53" i="22"/>
  <c r="L21" i="22" s="1"/>
  <c r="M65" i="22"/>
  <c r="L36" i="22" s="1"/>
  <c r="M67" i="22"/>
  <c r="G76" i="22"/>
  <c r="L15" i="22" l="1"/>
  <c r="L22" i="22"/>
  <c r="L20" i="22"/>
  <c r="L26" i="22"/>
  <c r="I16" i="22"/>
  <c r="L16" i="22"/>
  <c r="L39" i="22"/>
  <c r="L32" i="22"/>
  <c r="L19" i="22"/>
  <c r="F45" i="22"/>
  <c r="E43" i="22"/>
  <c r="E45" i="22" s="1"/>
  <c r="I18" i="22"/>
  <c r="G43" i="22"/>
  <c r="G45" i="22" s="1"/>
  <c r="M77" i="22"/>
  <c r="M76" i="22"/>
  <c r="H16" i="22" l="1"/>
  <c r="H19" i="22"/>
  <c r="I19" i="22"/>
  <c r="H32" i="22"/>
  <c r="I32" i="22"/>
  <c r="H20" i="22"/>
  <c r="I20" i="22"/>
  <c r="I22" i="22"/>
  <c r="H22" i="22"/>
  <c r="I26" i="22"/>
  <c r="H26" i="22"/>
  <c r="H39" i="22"/>
  <c r="I39" i="22"/>
  <c r="H15" i="22"/>
  <c r="I15" i="22"/>
  <c r="D43" i="22"/>
  <c r="D45" i="22" s="1"/>
  <c r="H45" i="22" s="1"/>
  <c r="C44" i="22"/>
  <c r="I43" i="22" l="1"/>
  <c r="H43" i="22"/>
  <c r="C46" i="22"/>
  <c r="I45" i="22"/>
</calcChain>
</file>

<file path=xl/sharedStrings.xml><?xml version="1.0" encoding="utf-8"?>
<sst xmlns="http://schemas.openxmlformats.org/spreadsheetml/2006/main" count="239" uniqueCount="149">
  <si>
    <t>Total</t>
  </si>
  <si>
    <t>Electricity</t>
  </si>
  <si>
    <t>Gas</t>
  </si>
  <si>
    <t xml:space="preserve">Draught Sealing </t>
  </si>
  <si>
    <t xml:space="preserve">Dishwasher </t>
  </si>
  <si>
    <t xml:space="preserve">Cooling </t>
  </si>
  <si>
    <t>% houses</t>
  </si>
  <si>
    <t>Av. GHG saving (Kg/Yr)</t>
  </si>
  <si>
    <t>Av. Saving ($/Yr)</t>
  </si>
  <si>
    <t>Av. Cost ($)</t>
  </si>
  <si>
    <t>Av. Payback (Yrs)</t>
  </si>
  <si>
    <t>Across Stock</t>
  </si>
  <si>
    <t xml:space="preserve">© Sustainability Victoria April 2019 </t>
  </si>
  <si>
    <t>Cost when implemented ($)</t>
  </si>
  <si>
    <t>Feed-in tariff</t>
  </si>
  <si>
    <t>Clean energy percentage in NSW grid</t>
  </si>
  <si>
    <t>Annual av. Kg GHG saved per $ spent when implemented</t>
  </si>
  <si>
    <t>Total (exc. double glazing)</t>
  </si>
  <si>
    <t>Av. GHG saving (Kg/Yr) when implemented</t>
  </si>
  <si>
    <t>Total (inc. double glazing, exc. drapes)</t>
  </si>
  <si>
    <t>Av. Energy Saving (MJ/Yr) across stock</t>
  </si>
  <si>
    <t>TV</t>
  </si>
  <si>
    <t>https://www.energy.gov.au/households/water-efficiency</t>
  </si>
  <si>
    <t>$ saving</t>
  </si>
  <si>
    <t>Payback yrs</t>
  </si>
  <si>
    <t>kWh saved</t>
  </si>
  <si>
    <t>https://insulationaustralia.com.au/get-a-quote/pricing/</t>
  </si>
  <si>
    <t>https://www.redenergy.com.au/living-energy/smart-homes/how-does-insulation-keep-a-house-cool</t>
  </si>
  <si>
    <t>C02-e emissions intensity per grid-supplied kWh (kg)</t>
  </si>
  <si>
    <t>https://www.aef.com.au/for-home/hot-water/hot-water-heat-pump-guide/</t>
  </si>
  <si>
    <t>Average energy savings from R5.0 ceiling insulation (%)</t>
  </si>
  <si>
    <t>kg C02-e saved</t>
  </si>
  <si>
    <t>https://www.cleanenergycouncil.org.au/consumers/buying-solar/costs-and-savings</t>
  </si>
  <si>
    <t>Annual</t>
  </si>
  <si>
    <t>Yearly rate of return (%)</t>
  </si>
  <si>
    <t>y</t>
  </si>
  <si>
    <t>Installed cost per m2</t>
  </si>
  <si>
    <t>https://www.justrite.com.au/calculate-insulation-cost/?gclid=Cj0KCQiA88X_BRDUARIsACVMYD85W-dH2cjisUuMxHOAZdGLzsERSs79wstqVo3ETAHyyJ-W6yoBy3QaAmbhEALw_wcB</t>
  </si>
  <si>
    <t>Swimming pool pump</t>
  </si>
  <si>
    <t>Gas heating ductwork</t>
  </si>
  <si>
    <t xml:space="preserve">External shading </t>
  </si>
  <si>
    <t>Clothes washer</t>
  </si>
  <si>
    <t>Refrigerator &amp;/or freezer</t>
  </si>
  <si>
    <t>TABLE 1: IMPACT OF ALL UPGRADE MEASURES ACROSS 60 VICTORIAN HOUSES IN 2015 (updated to 2019 prices and technology)</t>
  </si>
  <si>
    <t>Reduce sub-floor ventilation</t>
  </si>
  <si>
    <t>Seal wall-cavity</t>
  </si>
  <si>
    <t>Cavity wall insulation</t>
  </si>
  <si>
    <t xml:space="preserve">Low flow shower rose </t>
  </si>
  <si>
    <t xml:space="preserve">Ceiling insulation (easy) </t>
  </si>
  <si>
    <t xml:space="preserve">Ceiling insulation (difficult) </t>
  </si>
  <si>
    <t xml:space="preserve">Draught sealing </t>
  </si>
  <si>
    <t xml:space="preserve">Water heater – High Eff. Gas </t>
  </si>
  <si>
    <t xml:space="preserve">Ceiling insulation (top up) </t>
  </si>
  <si>
    <t xml:space="preserve">Underfloor insulation </t>
  </si>
  <si>
    <t xml:space="preserve">Drapes and/or pelmets </t>
  </si>
  <si>
    <t xml:space="preserve">Clothes dryer – heat pump </t>
  </si>
  <si>
    <t xml:space="preserve">Double glazing </t>
  </si>
  <si>
    <t>House size (m2)</t>
  </si>
  <si>
    <t>Annual unretrofitted electricty use (kWh)</t>
  </si>
  <si>
    <t>Total energy saving (converting gas MJ to Kwh)</t>
  </si>
  <si>
    <t>Saving</t>
  </si>
  <si>
    <t>Source: Comprehensive Energy Efficiency Retrofits to Existing Victorian Houses April 2019.pdf (p. 10-11)</t>
  </si>
  <si>
    <t>Total average use</t>
  </si>
  <si>
    <t>% Av, GHG saving when implemented</t>
  </si>
  <si>
    <t>System capacity (kW)</t>
  </si>
  <si>
    <t>Mid-way between STC included $2.5-$5K installed price ($)</t>
  </si>
  <si>
    <t>Average kWh cost (grid-supplied)</t>
  </si>
  <si>
    <t>Annual saving by exchange of electric storage to heat pump heater ($)</t>
  </si>
  <si>
    <t>% of total pre-retrofit energy use saved</t>
  </si>
  <si>
    <t>Comprehensive Energy Efficiency Retrofits to Existing Victorian Houses April 2019.pdf (p. 10-11)</t>
  </si>
  <si>
    <t>Roof-top Solar PV</t>
  </si>
  <si>
    <t>Lighting</t>
  </si>
  <si>
    <t>Installed price per kW including STC's and GST</t>
  </si>
  <si>
    <t>Price premium (%)</t>
  </si>
  <si>
    <t>Ceiling Insulation (easy)</t>
  </si>
  <si>
    <t>https://www.redenergy.com.au/living-energy/appliances/the-cost-of-running-your-air-conditioner</t>
  </si>
  <si>
    <t>Highest annual running cost</t>
  </si>
  <si>
    <t>Coefficient of performance relative to electric resistive heaters</t>
  </si>
  <si>
    <t>Cost including installation (installation assumed to be equal to physical unit cost)</t>
  </si>
  <si>
    <t>Total up-front cost</t>
  </si>
  <si>
    <t>Total installed cost</t>
  </si>
  <si>
    <t>EER</t>
  </si>
  <si>
    <t>% from reference</t>
  </si>
  <si>
    <t>8,9,10</t>
  </si>
  <si>
    <t>Not significant</t>
  </si>
  <si>
    <t>***</t>
  </si>
  <si>
    <t>https://economy.id.com.au/eurobodalla/housing-prices</t>
  </si>
  <si>
    <t>June 2018 Median house value</t>
  </si>
  <si>
    <t>Eurobodalla</t>
  </si>
  <si>
    <t>Shoalhaven</t>
  </si>
  <si>
    <t>Bega Valley</t>
  </si>
  <si>
    <t>Queanbeyan-Palerang</t>
  </si>
  <si>
    <t>Snowy Monaro</t>
  </si>
  <si>
    <t>Snowy Valleys</t>
  </si>
  <si>
    <t>Yass Valley</t>
  </si>
  <si>
    <t>Kiama</t>
  </si>
  <si>
    <t>n.a.</t>
  </si>
  <si>
    <t>https://economy.id.com.au/shoalhaven/housing-prices</t>
  </si>
  <si>
    <t>https://economy.id.com.au/queanbeyan-palerang/housing-prices</t>
  </si>
  <si>
    <t>https://economy.id.com.au/snowy-monaro/housing-values/</t>
  </si>
  <si>
    <t>https://economy.id.com.au/snowy-valleys/housing-values/</t>
  </si>
  <si>
    <t>https://economy.id.com.au/yass-valley/housing-values/</t>
  </si>
  <si>
    <t>https://economy.id.com.au/bega-valley/housing-values/</t>
  </si>
  <si>
    <t>Solar PV Calculator</t>
  </si>
  <si>
    <t>Annual unretrofitted electricty use per dwelling (kWh)</t>
  </si>
  <si>
    <t>Daily kWh generated</t>
  </si>
  <si>
    <t>GRID</t>
  </si>
  <si>
    <t>ROOF TOP</t>
  </si>
  <si>
    <t>Percentage fed in</t>
  </si>
  <si>
    <t>Total kWh cost to householder</t>
  </si>
  <si>
    <t>House-holder uses this percentage of behind-meter electricity and balance from front-of-meter grid-supplied energy</t>
  </si>
  <si>
    <t>House-holder uses this percentage of front-of-meter electricity and balance from behind-the-meter roof-top energy</t>
  </si>
  <si>
    <t>Daily unretrofitted electricty use per dwelling (kWh)</t>
  </si>
  <si>
    <t>Average kWh cost (all sources)</t>
  </si>
  <si>
    <t>Installed cost</t>
  </si>
  <si>
    <r>
      <t>Franz Fuerst, Georgia Warren-Myers. Does voluntary disclosure create a green lemon problem? Energy-ef</t>
    </r>
    <r>
      <rPr>
        <sz val="13"/>
        <color theme="1"/>
        <rFont val="AdvTT5235d5a9+fb"/>
      </rPr>
      <t>!</t>
    </r>
    <r>
      <rPr>
        <sz val="13"/>
        <color theme="1"/>
        <rFont val="AdvTT5235d5a9"/>
      </rPr>
      <t>ciency ratings and house prices. Energy Economics 74 (2018) 1–12</t>
    </r>
  </si>
  <si>
    <t>Source</t>
  </si>
  <si>
    <t>kWh saved if electric energy used</t>
  </si>
  <si>
    <t>Payback (yrs)</t>
  </si>
  <si>
    <t>Heating</t>
  </si>
  <si>
    <t>Key 'y' into yellow cell to implement that measure</t>
  </si>
  <si>
    <t>WORKING AND REFERENCE TABLE BELOW</t>
  </si>
  <si>
    <t>Additional installed cost relative to standard unit</t>
  </si>
  <si>
    <t>Before roof-top solar PV fitted</t>
  </si>
  <si>
    <t>After roof-top solar PV fitted</t>
  </si>
  <si>
    <t>Draws on Calculator Solar worksheet</t>
  </si>
  <si>
    <t>kWh generated per day per kW of installed capacity (LGA-specific)</t>
  </si>
  <si>
    <t>Unit power (kW)</t>
  </si>
  <si>
    <t>Daily hours running for six months of year</t>
  </si>
  <si>
    <t>Hot water heat pump (replacing resistive electric storage)</t>
  </si>
  <si>
    <t>% of electricty grid-supplied</t>
  </si>
  <si>
    <t>Reverse cycle heating and cooling (replacing resistance electric)</t>
  </si>
  <si>
    <t>https://www.aef.com.au/wp-content/uploads/2020/07/Hot-Water-Heat-Pump-Guide.pdf</t>
  </si>
  <si>
    <t>Total expenditure on retrofit plus bills over 20 years</t>
  </si>
  <si>
    <t>Grid electricty bill after retrofit (exc. connection fee)</t>
  </si>
  <si>
    <t>HER improvement (stars)#</t>
  </si>
  <si>
    <t># Energy Efficiency Upgrade Potential of Existing Victorian Houses Sep 2016.pdf (p. 32)</t>
  </si>
  <si>
    <t>Sale</t>
  </si>
  <si>
    <t>Rent</t>
  </si>
  <si>
    <t>.</t>
  </si>
  <si>
    <t>Dwelling Retrofit Calculator</t>
  </si>
  <si>
    <t>KEY YOUR ASSUMPTIONS INTO YELLOW CELLS</t>
  </si>
  <si>
    <t>https://theconversation.com/housing-construction-costs-are-already-rising-increasing-risks-of-builders-going-bust-279329</t>
  </si>
  <si>
    <t>% increase in costs since 2019</t>
  </si>
  <si>
    <t>Cost in 2019</t>
  </si>
  <si>
    <t>Up-front cost when implemented in today's dollars (uses cell L8)</t>
  </si>
  <si>
    <t>Version changes</t>
  </si>
  <si>
    <t>v1.0 is first version</t>
  </si>
  <si>
    <t>v1.1 amends v1.0 to include estimated increase in retrofit costs since 2019  (keyed in cell L8 in Calculator General sheet). This is so that up-front costs are in today's dollars.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</si>
</sst>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_(* #,##0.0_);_(* \(#,##0.0\);_(* &quot;-&quot;??_);_(@_)"/>
    <numFmt numFmtId="167" formatCode="_(&quot;$&quot;* #,##0_);_(&quot;$&quot;* \(#,##0\);_(&quot;$&quot;* &quot;-&quot;??_);_(@_)"/>
    <numFmt numFmtId="168" formatCode="_([$$-409]* #,##0_);_([$$-409]* \(#,##0\);_([$$-409]* &quot;-&quot;??_);_(@_)"/>
    <numFmt numFmtId="169" formatCode="0.0%"/>
    <numFmt numFmtId="170" formatCode="_(* #,##0.0_);_(* \(#,##0.0\);_(* &quot;-&quot;_);_(@_)"/>
    <numFmt numFmtId="171" formatCode="0.0000"/>
  </numFmts>
  <fonts count="1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4"/>
      <name val="Arial"/>
      <family val="2"/>
    </font>
    <font>
      <sz val="8"/>
      <color theme="1"/>
      <name val="DINNextLTPro"/>
    </font>
    <font>
      <sz val="9"/>
      <color theme="1"/>
      <name val="ArialMT"/>
    </font>
    <font>
      <b/>
      <sz val="12"/>
      <color theme="1"/>
      <name val="Times New Roman"/>
      <family val="1"/>
    </font>
    <font>
      <sz val="12"/>
      <color rgb="FF000000"/>
      <name val="Calibri"/>
      <family val="2"/>
      <scheme val="minor"/>
    </font>
    <font>
      <sz val="12"/>
      <color theme="1"/>
      <name val="AdvTT5235d5a9+22"/>
    </font>
    <font>
      <sz val="13"/>
      <color theme="1"/>
      <name val="AdvTT5235d5a9"/>
    </font>
    <font>
      <sz val="13"/>
      <color theme="1"/>
      <name val="AdvTT5235d5a9+fb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79FF"/>
        <bgColor indexed="64"/>
      </patternFill>
    </fill>
    <fill>
      <patternFill patternType="solid">
        <fgColor rgb="FFB6FF6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7F7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>
      <protection locked="0"/>
    </xf>
  </cellStyleXfs>
  <cellXfs count="166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0" xfId="0" applyNumberFormat="1"/>
    <xf numFmtId="1" fontId="0" fillId="0" borderId="0" xfId="0" applyNumberFormat="1"/>
    <xf numFmtId="0" fontId="1" fillId="0" borderId="1" xfId="0" applyFont="1" applyBorder="1"/>
    <xf numFmtId="0" fontId="3" fillId="0" borderId="0" xfId="1"/>
    <xf numFmtId="0" fontId="0" fillId="0" borderId="0" xfId="0" applyAlignment="1">
      <alignment horizontal="right"/>
    </xf>
    <xf numFmtId="165" fontId="0" fillId="0" borderId="0" xfId="4" applyNumberFormat="1" applyFont="1"/>
    <xf numFmtId="165" fontId="0" fillId="0" borderId="1" xfId="4" applyNumberFormat="1" applyFont="1" applyBorder="1"/>
    <xf numFmtId="0" fontId="0" fillId="2" borderId="0" xfId="0" applyFill="1"/>
    <xf numFmtId="0" fontId="2" fillId="0" borderId="0" xfId="0" applyFont="1"/>
    <xf numFmtId="9" fontId="0" fillId="2" borderId="0" xfId="6" applyFont="1" applyFill="1"/>
    <xf numFmtId="0" fontId="7" fillId="0" borderId="0" xfId="0" applyFont="1"/>
    <xf numFmtId="0" fontId="8" fillId="0" borderId="0" xfId="0" applyFont="1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1" fillId="0" borderId="0" xfId="0" applyFont="1" applyAlignment="1">
      <alignment vertical="center"/>
    </xf>
    <xf numFmtId="0" fontId="1" fillId="0" borderId="3" xfId="0" applyFont="1" applyBorder="1"/>
    <xf numFmtId="0" fontId="9" fillId="0" borderId="3" xfId="0" applyFont="1" applyBorder="1" applyAlignment="1">
      <alignment vertical="center"/>
    </xf>
    <xf numFmtId="6" fontId="1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horizontal="right" wrapText="1"/>
    </xf>
    <xf numFmtId="6" fontId="1" fillId="0" borderId="3" xfId="0" applyNumberFormat="1" applyFont="1" applyBorder="1"/>
    <xf numFmtId="1" fontId="1" fillId="0" borderId="3" xfId="0" applyNumberFormat="1" applyFont="1" applyBorder="1"/>
    <xf numFmtId="1" fontId="0" fillId="0" borderId="4" xfId="0" applyNumberFormat="1" applyBorder="1"/>
    <xf numFmtId="1" fontId="0" fillId="0" borderId="5" xfId="0" applyNumberFormat="1" applyBorder="1"/>
    <xf numFmtId="167" fontId="0" fillId="0" borderId="0" xfId="5" applyNumberFormat="1" applyFont="1"/>
    <xf numFmtId="9" fontId="0" fillId="0" borderId="0" xfId="6" applyFont="1"/>
    <xf numFmtId="0" fontId="0" fillId="0" borderId="1" xfId="0" applyBorder="1" applyAlignment="1">
      <alignment horizontal="right" wrapText="1"/>
    </xf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1" xfId="0" applyFont="1" applyBorder="1" applyAlignment="1">
      <alignment horizontal="center" wrapText="1"/>
    </xf>
    <xf numFmtId="1" fontId="0" fillId="3" borderId="0" xfId="0" applyNumberFormat="1" applyFill="1" applyAlignment="1">
      <alignment horizontal="center"/>
    </xf>
    <xf numFmtId="0" fontId="3" fillId="0" borderId="0" xfId="1" applyBorder="1"/>
    <xf numFmtId="0" fontId="1" fillId="0" borderId="0" xfId="0" applyFont="1" applyAlignment="1">
      <alignment horizontal="center"/>
    </xf>
    <xf numFmtId="0" fontId="0" fillId="0" borderId="4" xfId="0" applyBorder="1"/>
    <xf numFmtId="0" fontId="0" fillId="2" borderId="0" xfId="0" applyFill="1" applyAlignment="1">
      <alignment horizontal="center"/>
    </xf>
    <xf numFmtId="169" fontId="0" fillId="0" borderId="0" xfId="0" applyNumberFormat="1" applyAlignment="1">
      <alignment vertical="center"/>
    </xf>
    <xf numFmtId="169" fontId="0" fillId="0" borderId="0" xfId="0" applyNumberFormat="1"/>
    <xf numFmtId="164" fontId="0" fillId="0" borderId="0" xfId="0" applyNumberFormat="1" applyAlignment="1">
      <alignment vertical="center"/>
    </xf>
    <xf numFmtId="165" fontId="0" fillId="0" borderId="0" xfId="4" applyNumberFormat="1" applyFont="1" applyAlignment="1">
      <alignment vertical="center"/>
    </xf>
    <xf numFmtId="165" fontId="1" fillId="0" borderId="3" xfId="4" applyNumberFormat="1" applyFont="1" applyBorder="1"/>
    <xf numFmtId="165" fontId="1" fillId="0" borderId="0" xfId="4" applyNumberFormat="1" applyFont="1" applyFill="1" applyBorder="1"/>
    <xf numFmtId="165" fontId="0" fillId="0" borderId="1" xfId="4" applyNumberFormat="1" applyFont="1" applyBorder="1" applyAlignment="1">
      <alignment vertical="center"/>
    </xf>
    <xf numFmtId="1" fontId="0" fillId="0" borderId="0" xfId="0" applyNumberFormat="1" applyAlignment="1">
      <alignment vertical="center"/>
    </xf>
    <xf numFmtId="164" fontId="1" fillId="0" borderId="0" xfId="0" applyNumberFormat="1" applyFont="1" applyAlignment="1">
      <alignment vertical="center"/>
    </xf>
    <xf numFmtId="9" fontId="0" fillId="0" borderId="0" xfId="6" applyFont="1" applyAlignment="1">
      <alignment horizontal="right"/>
    </xf>
    <xf numFmtId="165" fontId="0" fillId="0" borderId="0" xfId="4" applyNumberFormat="1" applyFont="1" applyAlignment="1">
      <alignment horizontal="right"/>
    </xf>
    <xf numFmtId="9" fontId="0" fillId="0" borderId="1" xfId="6" applyFont="1" applyBorder="1"/>
    <xf numFmtId="9" fontId="1" fillId="0" borderId="0" xfId="6" applyFont="1" applyAlignment="1">
      <alignment vertical="center"/>
    </xf>
    <xf numFmtId="0" fontId="0" fillId="0" borderId="1" xfId="0" applyBorder="1" applyAlignment="1">
      <alignment vertical="center"/>
    </xf>
    <xf numFmtId="169" fontId="0" fillId="0" borderId="1" xfId="0" applyNumberFormat="1" applyBorder="1" applyAlignment="1">
      <alignment vertical="center"/>
    </xf>
    <xf numFmtId="164" fontId="0" fillId="0" borderId="1" xfId="0" applyNumberFormat="1" applyBorder="1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4" applyNumberFormat="1" applyFont="1" applyBorder="1" applyAlignment="1">
      <alignment vertical="center"/>
    </xf>
    <xf numFmtId="9" fontId="0" fillId="0" borderId="0" xfId="6" applyFont="1" applyBorder="1"/>
    <xf numFmtId="9" fontId="0" fillId="2" borderId="0" xfId="6" applyFont="1" applyFill="1" applyBorder="1"/>
    <xf numFmtId="44" fontId="0" fillId="2" borderId="0" xfId="5" applyFont="1" applyFill="1" applyBorder="1"/>
    <xf numFmtId="168" fontId="0" fillId="2" borderId="0" xfId="5" applyNumberFormat="1" applyFont="1" applyFill="1" applyBorder="1"/>
    <xf numFmtId="166" fontId="0" fillId="2" borderId="0" xfId="4" applyNumberFormat="1" applyFont="1" applyFill="1" applyBorder="1"/>
    <xf numFmtId="0" fontId="0" fillId="0" borderId="1" xfId="0" applyBorder="1" applyAlignment="1">
      <alignment wrapText="1"/>
    </xf>
    <xf numFmtId="0" fontId="10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167" fontId="0" fillId="0" borderId="0" xfId="0" applyNumberFormat="1"/>
    <xf numFmtId="0" fontId="11" fillId="0" borderId="0" xfId="0" applyFont="1"/>
    <xf numFmtId="167" fontId="0" fillId="0" borderId="0" xfId="5" applyNumberFormat="1" applyFont="1" applyFill="1"/>
    <xf numFmtId="165" fontId="0" fillId="2" borderId="0" xfId="0" applyNumberFormat="1" applyFill="1"/>
    <xf numFmtId="9" fontId="0" fillId="2" borderId="0" xfId="0" applyNumberFormat="1" applyFill="1"/>
    <xf numFmtId="43" fontId="0" fillId="2" borderId="0" xfId="4" applyFont="1" applyFill="1" applyBorder="1"/>
    <xf numFmtId="44" fontId="0" fillId="0" borderId="0" xfId="5" applyFont="1"/>
    <xf numFmtId="167" fontId="0" fillId="0" borderId="0" xfId="5" applyNumberFormat="1" applyFont="1" applyAlignment="1">
      <alignment vertical="center"/>
    </xf>
    <xf numFmtId="167" fontId="0" fillId="0" borderId="0" xfId="5" applyNumberFormat="1" applyFont="1" applyBorder="1" applyAlignment="1">
      <alignment vertical="center"/>
    </xf>
    <xf numFmtId="167" fontId="0" fillId="0" borderId="1" xfId="5" applyNumberFormat="1" applyFont="1" applyBorder="1" applyAlignment="1">
      <alignment vertical="center"/>
    </xf>
    <xf numFmtId="167" fontId="1" fillId="0" borderId="0" xfId="5" applyNumberFormat="1" applyFont="1" applyFill="1" applyBorder="1"/>
    <xf numFmtId="167" fontId="0" fillId="0" borderId="1" xfId="5" applyNumberFormat="1" applyFont="1" applyBorder="1"/>
    <xf numFmtId="164" fontId="0" fillId="0" borderId="8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7" fontId="0" fillId="0" borderId="1" xfId="5" applyNumberFormat="1" applyFont="1" applyFill="1" applyBorder="1"/>
    <xf numFmtId="0" fontId="12" fillId="0" borderId="0" xfId="0" applyFont="1"/>
    <xf numFmtId="165" fontId="1" fillId="0" borderId="0" xfId="4" applyNumberFormat="1" applyFont="1" applyFill="1" applyAlignment="1">
      <alignment vertical="center"/>
    </xf>
    <xf numFmtId="3" fontId="0" fillId="0" borderId="0" xfId="0" applyNumberFormat="1"/>
    <xf numFmtId="167" fontId="0" fillId="0" borderId="0" xfId="5" applyNumberFormat="1" applyFont="1" applyFill="1" applyBorder="1"/>
    <xf numFmtId="165" fontId="0" fillId="0" borderId="0" xfId="0" applyNumberFormat="1"/>
    <xf numFmtId="165" fontId="0" fillId="0" borderId="1" xfId="0" applyNumberFormat="1" applyBorder="1"/>
    <xf numFmtId="165" fontId="1" fillId="0" borderId="0" xfId="0" applyNumberFormat="1" applyFont="1"/>
    <xf numFmtId="0" fontId="10" fillId="2" borderId="0" xfId="0" applyFont="1" applyFill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1" fillId="0" borderId="5" xfId="0" applyFont="1" applyBorder="1" applyAlignment="1">
      <alignment horizontal="left" wrapText="1"/>
    </xf>
    <xf numFmtId="0" fontId="0" fillId="4" borderId="0" xfId="0" applyFill="1" applyAlignment="1">
      <alignment horizontal="center"/>
    </xf>
    <xf numFmtId="1" fontId="0" fillId="2" borderId="4" xfId="5" applyNumberFormat="1" applyFont="1" applyFill="1" applyBorder="1"/>
    <xf numFmtId="165" fontId="0" fillId="2" borderId="4" xfId="4" applyNumberFormat="1" applyFont="1" applyFill="1" applyBorder="1"/>
    <xf numFmtId="166" fontId="0" fillId="2" borderId="4" xfId="4" applyNumberFormat="1" applyFont="1" applyFill="1" applyBorder="1"/>
    <xf numFmtId="167" fontId="0" fillId="0" borderId="9" xfId="5" applyNumberFormat="1" applyFont="1" applyFill="1" applyBorder="1"/>
    <xf numFmtId="44" fontId="0" fillId="2" borderId="5" xfId="5" applyFont="1" applyFill="1" applyBorder="1"/>
    <xf numFmtId="167" fontId="0" fillId="2" borderId="9" xfId="5" applyNumberFormat="1" applyFont="1" applyFill="1" applyBorder="1"/>
    <xf numFmtId="167" fontId="0" fillId="2" borderId="5" xfId="5" applyNumberFormat="1" applyFont="1" applyFill="1" applyBorder="1"/>
    <xf numFmtId="0" fontId="0" fillId="0" borderId="2" xfId="0" applyBorder="1" applyAlignment="1">
      <alignment wrapText="1"/>
    </xf>
    <xf numFmtId="0" fontId="0" fillId="0" borderId="2" xfId="0" applyBorder="1"/>
    <xf numFmtId="0" fontId="1" fillId="0" borderId="5" xfId="0" applyFont="1" applyBorder="1" applyAlignment="1">
      <alignment horizontal="right" wrapText="1"/>
    </xf>
    <xf numFmtId="0" fontId="0" fillId="5" borderId="0" xfId="0" applyFill="1" applyAlignment="1">
      <alignment horizontal="right"/>
    </xf>
    <xf numFmtId="167" fontId="0" fillId="5" borderId="0" xfId="5" applyNumberFormat="1" applyFont="1" applyFill="1" applyAlignment="1">
      <alignment horizontal="center"/>
    </xf>
    <xf numFmtId="0" fontId="10" fillId="4" borderId="0" xfId="0" applyFont="1" applyFill="1" applyAlignment="1">
      <alignment horizontal="right" vertical="center"/>
    </xf>
    <xf numFmtId="0" fontId="0" fillId="6" borderId="0" xfId="0" applyFill="1" applyAlignment="1">
      <alignment horizontal="right"/>
    </xf>
    <xf numFmtId="167" fontId="0" fillId="6" borderId="0" xfId="5" applyNumberFormat="1" applyFont="1" applyFill="1"/>
    <xf numFmtId="171" fontId="0" fillId="0" borderId="0" xfId="0" applyNumberFormat="1"/>
    <xf numFmtId="0" fontId="0" fillId="0" borderId="0" xfId="0" applyAlignment="1">
      <alignment horizontal="center" wrapText="1"/>
    </xf>
    <xf numFmtId="41" fontId="0" fillId="0" borderId="0" xfId="0" applyNumberFormat="1"/>
    <xf numFmtId="41" fontId="0" fillId="3" borderId="0" xfId="0" applyNumberFormat="1" applyFill="1" applyAlignment="1">
      <alignment horizontal="center"/>
    </xf>
    <xf numFmtId="166" fontId="10" fillId="0" borderId="0" xfId="4" applyNumberFormat="1" applyFont="1" applyBorder="1" applyAlignment="1" applyProtection="1"/>
    <xf numFmtId="166" fontId="0" fillId="0" borderId="0" xfId="0" applyNumberFormat="1"/>
    <xf numFmtId="165" fontId="0" fillId="0" borderId="0" xfId="4" applyNumberFormat="1" applyFont="1" applyBorder="1" applyAlignment="1" applyProtection="1"/>
    <xf numFmtId="166" fontId="0" fillId="0" borderId="0" xfId="4" applyNumberFormat="1" applyFont="1" applyBorder="1" applyAlignment="1" applyProtection="1"/>
    <xf numFmtId="165" fontId="0" fillId="0" borderId="0" xfId="4" applyNumberFormat="1" applyFont="1" applyBorder="1" applyProtection="1"/>
    <xf numFmtId="165" fontId="0" fillId="0" borderId="0" xfId="4" applyNumberFormat="1" applyFont="1" applyFill="1" applyBorder="1" applyProtection="1"/>
    <xf numFmtId="167" fontId="0" fillId="0" borderId="0" xfId="5" applyNumberFormat="1" applyFont="1" applyBorder="1" applyProtection="1"/>
    <xf numFmtId="41" fontId="0" fillId="3" borderId="0" xfId="0" applyNumberFormat="1" applyFill="1"/>
    <xf numFmtId="167" fontId="0" fillId="0" borderId="1" xfId="0" applyNumberFormat="1" applyBorder="1"/>
    <xf numFmtId="165" fontId="0" fillId="0" borderId="1" xfId="4" applyNumberFormat="1" applyFont="1" applyBorder="1" applyProtection="1"/>
    <xf numFmtId="165" fontId="0" fillId="0" borderId="1" xfId="4" applyNumberFormat="1" applyFont="1" applyFill="1" applyBorder="1" applyProtection="1"/>
    <xf numFmtId="167" fontId="0" fillId="0" borderId="1" xfId="5" applyNumberFormat="1" applyFont="1" applyBorder="1" applyProtection="1"/>
    <xf numFmtId="41" fontId="0" fillId="0" borderId="1" xfId="0" applyNumberFormat="1" applyBorder="1"/>
    <xf numFmtId="41" fontId="0" fillId="3" borderId="1" xfId="0" applyNumberFormat="1" applyFill="1" applyBorder="1"/>
    <xf numFmtId="166" fontId="0" fillId="0" borderId="1" xfId="0" applyNumberFormat="1" applyBorder="1"/>
    <xf numFmtId="170" fontId="0" fillId="0" borderId="0" xfId="0" applyNumberFormat="1"/>
    <xf numFmtId="2" fontId="0" fillId="0" borderId="0" xfId="4" applyNumberFormat="1" applyFont="1" applyBorder="1" applyProtection="1"/>
    <xf numFmtId="166" fontId="0" fillId="0" borderId="1" xfId="4" applyNumberFormat="1" applyFont="1" applyBorder="1" applyAlignment="1" applyProtection="1"/>
    <xf numFmtId="165" fontId="0" fillId="0" borderId="0" xfId="4" applyNumberFormat="1" applyFont="1" applyProtection="1"/>
    <xf numFmtId="43" fontId="0" fillId="0" borderId="0" xfId="4" applyFont="1" applyFill="1" applyProtection="1"/>
    <xf numFmtId="167" fontId="0" fillId="4" borderId="0" xfId="0" applyNumberFormat="1" applyFill="1"/>
    <xf numFmtId="165" fontId="0" fillId="4" borderId="0" xfId="4" applyNumberFormat="1" applyFont="1" applyFill="1" applyBorder="1" applyProtection="1"/>
    <xf numFmtId="167" fontId="0" fillId="4" borderId="0" xfId="5" applyNumberFormat="1" applyFont="1" applyFill="1" applyProtection="1"/>
    <xf numFmtId="170" fontId="0" fillId="4" borderId="0" xfId="0" applyNumberFormat="1" applyFill="1"/>
    <xf numFmtId="164" fontId="0" fillId="4" borderId="0" xfId="0" applyNumberFormat="1" applyFill="1"/>
    <xf numFmtId="9" fontId="0" fillId="2" borderId="4" xfId="6" applyFont="1" applyFill="1" applyBorder="1" applyProtection="1">
      <protection locked="0"/>
    </xf>
    <xf numFmtId="0" fontId="1" fillId="0" borderId="0" xfId="0" applyFont="1" applyAlignment="1">
      <alignment horizontal="right" wrapText="1"/>
    </xf>
    <xf numFmtId="0" fontId="0" fillId="0" borderId="2" xfId="0" applyBorder="1" applyAlignment="1">
      <alignment horizontal="right" wrapText="1"/>
    </xf>
    <xf numFmtId="0" fontId="1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4" xfId="0" applyBorder="1" applyAlignment="1">
      <alignment horizontal="right"/>
    </xf>
    <xf numFmtId="0" fontId="10" fillId="0" borderId="4" xfId="0" applyFont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165" fontId="5" fillId="0" borderId="0" xfId="4" applyNumberFormat="1" applyFont="1" applyBorder="1" applyProtection="1"/>
    <xf numFmtId="165" fontId="5" fillId="0" borderId="0" xfId="4" applyNumberFormat="1" applyFont="1" applyFill="1" applyBorder="1" applyProtection="1"/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right" vertical="center"/>
    </xf>
    <xf numFmtId="9" fontId="0" fillId="2" borderId="10" xfId="0" applyNumberFormat="1" applyFill="1" applyBorder="1"/>
    <xf numFmtId="165" fontId="0" fillId="2" borderId="11" xfId="0" applyNumberFormat="1" applyFill="1" applyBorder="1"/>
    <xf numFmtId="44" fontId="0" fillId="2" borderId="11" xfId="5" applyFont="1" applyFill="1" applyBorder="1"/>
    <xf numFmtId="9" fontId="0" fillId="0" borderId="11" xfId="0" applyNumberFormat="1" applyBorder="1"/>
    <xf numFmtId="9" fontId="0" fillId="2" borderId="11" xfId="0" applyNumberFormat="1" applyFill="1" applyBorder="1"/>
    <xf numFmtId="9" fontId="0" fillId="2" borderId="12" xfId="0" applyNumberFormat="1" applyFill="1" applyBorder="1"/>
  </cellXfs>
  <cellStyles count="8">
    <cellStyle name="Comma" xfId="4" builtinId="3"/>
    <cellStyle name="Currency" xfId="5" builtinId="4"/>
    <cellStyle name="heading" xfId="7" xr:uid="{7905FA41-AF3D-EC48-BD13-C8BFA422044D}"/>
    <cellStyle name="Hyperlink" xfId="1" builtinId="8"/>
    <cellStyle name="Normal" xfId="0" builtinId="0"/>
    <cellStyle name="Normal 105" xfId="3" xr:uid="{24C90B22-C82F-CF45-9E71-355EEA30709D}"/>
    <cellStyle name="Normal 2" xfId="2" xr:uid="{76CA7D1A-3EC4-8C40-B6AF-4A56C07CCC2A}"/>
    <cellStyle name="Per cent" xfId="6" builtinId="5"/>
  </cellStyles>
  <dxfs count="0"/>
  <tableStyles count="0" defaultTableStyle="TableStyleMedium2" defaultPivotStyle="PivotStyleLight16"/>
  <colors>
    <mruColors>
      <color rgb="FFFF7F7F"/>
      <color rgb="FFD6D6D6"/>
      <color rgb="FFB6FF63"/>
      <color rgb="FFFF7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heconversation.com/housing-construction-costs-are-already-rising-increasing-risks-of-builders-going-bust-279329" TargetMode="External"/><Relationship Id="rId3" Type="http://schemas.openxmlformats.org/officeDocument/2006/relationships/hyperlink" Target="https://www.energy.gov.au/households/water-efficiency" TargetMode="External"/><Relationship Id="rId7" Type="http://schemas.openxmlformats.org/officeDocument/2006/relationships/hyperlink" Target="https://www.redenergy.com.au/living-energy/appliances/the-cost-of-running-your-air-conditioner" TargetMode="External"/><Relationship Id="rId2" Type="http://schemas.openxmlformats.org/officeDocument/2006/relationships/hyperlink" Target="https://www.redenergy.com.au/living-energy/smart-homes/how-does-insulation-keep-a-house-cool" TargetMode="External"/><Relationship Id="rId1" Type="http://schemas.openxmlformats.org/officeDocument/2006/relationships/hyperlink" Target="https://www.justrite.com.au/calculate-insulation-cost/?gclid=Cj0KCQiA88X_BRDUARIsACVMYD85W-dH2cjisUuMxHOAZdGLzsERSs79wstqVo3ETAHyyJ-W6yoBy3QaAmbhEALw_wcB" TargetMode="External"/><Relationship Id="rId6" Type="http://schemas.openxmlformats.org/officeDocument/2006/relationships/hyperlink" Target="https://www.aef.com.au/for-home/hot-water/hot-water-heat-pump-guide/" TargetMode="External"/><Relationship Id="rId5" Type="http://schemas.openxmlformats.org/officeDocument/2006/relationships/hyperlink" Target="https://www.aef.com.au/for-home/hot-water/hot-water-heat-pump-guide/" TargetMode="External"/><Relationship Id="rId4" Type="http://schemas.openxmlformats.org/officeDocument/2006/relationships/hyperlink" Target="https://insulationaustralia.com.au/get-a-quote/pricin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leanenergycouncil.org.au/consumers/buying-solar/costs-and-saving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economy.id.com.au/shoalhaven/housing-prices" TargetMode="External"/><Relationship Id="rId7" Type="http://schemas.openxmlformats.org/officeDocument/2006/relationships/hyperlink" Target="https://economy.id.com.au/bega-valley/housing-values/" TargetMode="External"/><Relationship Id="rId2" Type="http://schemas.openxmlformats.org/officeDocument/2006/relationships/hyperlink" Target="https://economy.id.com.au/queanbeyan-palerang/housing-prices" TargetMode="External"/><Relationship Id="rId1" Type="http://schemas.openxmlformats.org/officeDocument/2006/relationships/hyperlink" Target="https://economy.id.com.au/snowy-monaro/housing-values/" TargetMode="External"/><Relationship Id="rId6" Type="http://schemas.openxmlformats.org/officeDocument/2006/relationships/hyperlink" Target="https://economy.id.com.au/yass-valley/housing-values/" TargetMode="External"/><Relationship Id="rId5" Type="http://schemas.openxmlformats.org/officeDocument/2006/relationships/hyperlink" Target="https://economy.id.com.au/snowy-valleys/housing-values/" TargetMode="External"/><Relationship Id="rId4" Type="http://schemas.openxmlformats.org/officeDocument/2006/relationships/hyperlink" Target="https://economy.id.com.au/eurobodalla/housing-pri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575F5-952E-254C-8D53-7778F2E53113}">
  <sheetPr>
    <pageSetUpPr fitToPage="1"/>
  </sheetPr>
  <dimension ref="A1:V81"/>
  <sheetViews>
    <sheetView tabSelected="1" topLeftCell="B1" zoomScale="94" zoomScaleNormal="110" workbookViewId="0">
      <selection activeCell="L8" sqref="L8"/>
    </sheetView>
  </sheetViews>
  <sheetFormatPr baseColWidth="10" defaultRowHeight="16"/>
  <cols>
    <col min="1" max="1" width="0" hidden="1" customWidth="1"/>
    <col min="2" max="2" width="54.33203125" customWidth="1"/>
    <col min="3" max="3" width="12.1640625" style="23" customWidth="1"/>
    <col min="4" max="4" width="16" customWidth="1"/>
    <col min="8" max="8" width="8.33203125" customWidth="1"/>
    <col min="9" max="9" width="8.6640625" style="23" customWidth="1"/>
    <col min="10" max="10" width="12.5" customWidth="1"/>
    <col min="11" max="11" width="8.83203125" customWidth="1"/>
    <col min="12" max="12" width="12.5" customWidth="1"/>
    <col min="13" max="13" width="29.83203125" customWidth="1"/>
    <col min="14" max="14" width="12.6640625" customWidth="1"/>
    <col min="16" max="16" width="12" bestFit="1" customWidth="1"/>
  </cols>
  <sheetData>
    <row r="1" spans="1:22" ht="19">
      <c r="B1" s="11" t="s">
        <v>140</v>
      </c>
      <c r="C1" s="40"/>
      <c r="I1"/>
    </row>
    <row r="2" spans="1:22">
      <c r="B2" s="96"/>
      <c r="C2" s="97"/>
      <c r="D2" s="33"/>
      <c r="E2" s="33"/>
      <c r="F2" s="33"/>
      <c r="G2" s="33"/>
      <c r="H2" s="33"/>
      <c r="I2" s="97"/>
      <c r="J2" s="33"/>
      <c r="K2" s="33"/>
      <c r="L2" s="149" t="s">
        <v>141</v>
      </c>
      <c r="M2" s="33"/>
      <c r="N2" s="33"/>
      <c r="O2" s="33"/>
      <c r="P2" s="33"/>
      <c r="Q2" s="33"/>
      <c r="R2" s="33"/>
      <c r="S2" s="33"/>
      <c r="T2" s="33"/>
      <c r="U2" s="33"/>
      <c r="V2" s="34"/>
    </row>
    <row r="3" spans="1:22">
      <c r="B3" s="98"/>
      <c r="L3" s="160">
        <v>0.4</v>
      </c>
      <c r="M3" s="33" t="s">
        <v>15</v>
      </c>
      <c r="N3" s="34"/>
      <c r="V3" s="35"/>
    </row>
    <row r="4" spans="1:22">
      <c r="B4" s="41"/>
      <c r="L4" s="161">
        <v>9299</v>
      </c>
      <c r="M4" t="s">
        <v>58</v>
      </c>
      <c r="N4" s="35"/>
      <c r="V4" s="35"/>
    </row>
    <row r="5" spans="1:22">
      <c r="B5" s="98"/>
      <c r="L5" s="162">
        <f>IF(ISTEXT($C45),'Calculator Solar'!H5,0.3)</f>
        <v>0.11008441767932037</v>
      </c>
      <c r="M5" t="s">
        <v>113</v>
      </c>
      <c r="V5" s="35"/>
    </row>
    <row r="6" spans="1:22">
      <c r="B6" s="41" t="s">
        <v>139</v>
      </c>
      <c r="C6" s="40"/>
      <c r="L6" s="163">
        <f>1-L3</f>
        <v>0.6</v>
      </c>
      <c r="M6" t="s">
        <v>28</v>
      </c>
      <c r="N6" s="35"/>
      <c r="V6" s="35"/>
    </row>
    <row r="7" spans="1:22">
      <c r="B7" s="41"/>
      <c r="C7" s="40"/>
      <c r="L7" s="164">
        <f>IF(ISTEXT($C45),'Calculator Solar'!J21,1)</f>
        <v>0.5</v>
      </c>
      <c r="M7" s="41" t="s">
        <v>130</v>
      </c>
      <c r="V7" s="35"/>
    </row>
    <row r="8" spans="1:22">
      <c r="B8" s="41"/>
      <c r="C8" s="40"/>
      <c r="E8" s="2" t="s">
        <v>33</v>
      </c>
      <c r="F8" s="2"/>
      <c r="G8" s="2"/>
      <c r="L8" s="165">
        <v>0.5</v>
      </c>
      <c r="M8" s="2" t="s">
        <v>143</v>
      </c>
      <c r="N8" s="2"/>
      <c r="V8" s="35"/>
    </row>
    <row r="9" spans="1:22" ht="89" customHeight="1">
      <c r="B9" s="100" t="s">
        <v>123</v>
      </c>
      <c r="C9" s="32" t="s">
        <v>120</v>
      </c>
      <c r="D9" s="32" t="s">
        <v>145</v>
      </c>
      <c r="E9" s="32" t="s">
        <v>117</v>
      </c>
      <c r="F9" s="32" t="s">
        <v>31</v>
      </c>
      <c r="G9" s="32" t="s">
        <v>23</v>
      </c>
      <c r="H9" s="32" t="s">
        <v>118</v>
      </c>
      <c r="I9" s="32" t="s">
        <v>34</v>
      </c>
      <c r="J9" s="32" t="s">
        <v>135</v>
      </c>
      <c r="K9" s="32" t="s">
        <v>73</v>
      </c>
      <c r="L9" s="148" t="s">
        <v>144</v>
      </c>
      <c r="M9" s="109"/>
      <c r="N9" s="110"/>
      <c r="O9" s="2"/>
      <c r="P9" s="2"/>
      <c r="Q9" s="2"/>
      <c r="R9" s="2"/>
      <c r="S9" s="2"/>
      <c r="T9" s="2"/>
      <c r="U9" s="2"/>
      <c r="V9" s="35"/>
    </row>
    <row r="10" spans="1:22">
      <c r="B10" s="41"/>
      <c r="D10" s="24"/>
      <c r="E10" s="24"/>
      <c r="G10" s="24"/>
      <c r="H10" s="24"/>
      <c r="I10" s="118"/>
      <c r="K10" s="24"/>
      <c r="L10" s="70"/>
      <c r="M10" s="70"/>
      <c r="O10" s="69" t="s">
        <v>136</v>
      </c>
      <c r="V10" s="35"/>
    </row>
    <row r="11" spans="1:22">
      <c r="A11">
        <v>3</v>
      </c>
      <c r="B11" s="150" t="s">
        <v>74</v>
      </c>
      <c r="C11" s="99" t="s">
        <v>35</v>
      </c>
      <c r="D11" s="72">
        <f>IF(ISTEXT($C11),L11,)*(1+L8)</f>
        <v>1944</v>
      </c>
      <c r="E11" s="119">
        <f>IF(ISTEXT($C11),L13*AvYrlykWh,)</f>
        <v>2789.7</v>
      </c>
      <c r="F11" s="91">
        <f>Intensity*E11*GridPct</f>
        <v>836.91</v>
      </c>
      <c r="G11" s="72">
        <f>E11*kWh_cost</f>
        <v>307.10250000000002</v>
      </c>
      <c r="H11" s="119">
        <f>IF(ISTEXT($C11),D11/G11,)</f>
        <v>6.3301340757564653</v>
      </c>
      <c r="I11" s="120">
        <f>IF(ISTEXT($C11),100*G11/D11,)</f>
        <v>15.797453703703706</v>
      </c>
      <c r="J11" s="121">
        <f>IF(ISTEXT($C11),0.84,)</f>
        <v>0.84</v>
      </c>
      <c r="K11" s="122">
        <v>2.8</v>
      </c>
      <c r="L11" s="105">
        <f>L12*L14</f>
        <v>1296</v>
      </c>
      <c r="M11" s="33" t="s">
        <v>80</v>
      </c>
      <c r="N11" s="34"/>
      <c r="V11" s="35"/>
    </row>
    <row r="12" spans="1:22">
      <c r="A12">
        <v>3.1</v>
      </c>
      <c r="B12" s="151"/>
      <c r="D12" s="72"/>
      <c r="H12" s="119"/>
      <c r="I12" s="119"/>
      <c r="J12" s="123"/>
      <c r="K12" s="122"/>
      <c r="L12" s="102">
        <v>90</v>
      </c>
      <c r="M12" t="s">
        <v>57</v>
      </c>
      <c r="N12" s="35"/>
      <c r="O12" s="39" t="s">
        <v>26</v>
      </c>
      <c r="V12" s="35"/>
    </row>
    <row r="13" spans="1:22">
      <c r="A13">
        <v>3.2</v>
      </c>
      <c r="B13" s="151"/>
      <c r="D13" s="72"/>
      <c r="H13" s="119"/>
      <c r="I13" s="119"/>
      <c r="J13" s="124"/>
      <c r="K13" s="122"/>
      <c r="L13" s="146">
        <v>0.3</v>
      </c>
      <c r="M13" t="s">
        <v>30</v>
      </c>
      <c r="N13" s="35"/>
      <c r="O13" s="39" t="s">
        <v>27</v>
      </c>
      <c r="V13" s="35"/>
    </row>
    <row r="14" spans="1:22">
      <c r="A14">
        <v>3.3</v>
      </c>
      <c r="B14" s="151"/>
      <c r="D14" s="72"/>
      <c r="H14" s="119"/>
      <c r="I14" s="119"/>
      <c r="J14" s="124"/>
      <c r="K14" s="122"/>
      <c r="L14" s="106">
        <v>14.4</v>
      </c>
      <c r="M14" s="2" t="s">
        <v>36</v>
      </c>
      <c r="N14" s="36"/>
      <c r="O14" s="39" t="s">
        <v>37</v>
      </c>
      <c r="V14" s="35"/>
    </row>
    <row r="15" spans="1:22" ht="17">
      <c r="A15">
        <v>2</v>
      </c>
      <c r="B15" s="152" t="s">
        <v>49</v>
      </c>
      <c r="C15" s="94" t="s">
        <v>35</v>
      </c>
      <c r="D15" s="72">
        <f>IF(ISTEXT($C15),VLOOKUP(B15,B$53:O$75,13,TRUE),)*(1+L8)</f>
        <v>1252.2522522522522</v>
      </c>
      <c r="E15" s="125">
        <f t="shared" ref="E15:E26" si="0">IF(ISTEXT($C15),F15/Intensity,)</f>
        <v>280.28028028028029</v>
      </c>
      <c r="F15" s="126">
        <f t="shared" ref="F15:F26" si="1">IF(ISTEXT($C15),VLOOKUP(B15,B$53:O$75,11,TRUE)*GridPct,)</f>
        <v>168.16816816816817</v>
      </c>
      <c r="G15" s="127">
        <f t="shared" ref="G15:G27" si="2">IF(ISTEXT($C15),E15*kWh_cost,)</f>
        <v>30.854491441651355</v>
      </c>
      <c r="H15" s="119">
        <f>IF(ISTEXT($C15),D15/G15,)</f>
        <v>40.58573626534649</v>
      </c>
      <c r="I15" s="120">
        <f>IF(ISTEXT($C15),G15/D15*100,)</f>
        <v>2.463919820160648</v>
      </c>
      <c r="J15" s="121"/>
      <c r="K15" s="122"/>
      <c r="L15" s="90">
        <f t="shared" ref="L15:L26" si="3">VLOOKUP(B15,B$53:O$75,13,TRUE)</f>
        <v>834.83483483483485</v>
      </c>
      <c r="M15" s="70" t="s">
        <v>114</v>
      </c>
      <c r="O15" t="s">
        <v>69</v>
      </c>
      <c r="V15" s="35"/>
    </row>
    <row r="16" spans="1:22" ht="17">
      <c r="A16">
        <v>11</v>
      </c>
      <c r="B16" s="150" t="s">
        <v>3</v>
      </c>
      <c r="C16" s="99" t="s">
        <v>35</v>
      </c>
      <c r="D16" s="72">
        <f>IF(ISTEXT($C16),VLOOKUP(B16,B$53:O$75,13,TRUE),)*(1+L8)</f>
        <v>1556.4598168870807</v>
      </c>
      <c r="E16" s="125">
        <f t="shared" si="0"/>
        <v>315.36113936927774</v>
      </c>
      <c r="F16" s="126">
        <f t="shared" si="1"/>
        <v>189.21668362156663</v>
      </c>
      <c r="G16" s="127">
        <f t="shared" si="2"/>
        <v>34.716347386153934</v>
      </c>
      <c r="H16" s="119">
        <f t="shared" ref="H16:H23" si="4">IF(ISTEXT($C16),D16/G16,)</f>
        <v>44.833628364597196</v>
      </c>
      <c r="I16" s="128">
        <f t="shared" ref="I16:I23" si="5">IF(ISTEXT($C16),G16/D16*100,)</f>
        <v>2.2304685935025694</v>
      </c>
      <c r="J16" s="124">
        <f>IF(ISTEXT($C16),0.69,)</f>
        <v>0.69</v>
      </c>
      <c r="K16" s="122"/>
      <c r="L16" s="90">
        <f t="shared" si="3"/>
        <v>1037.6398779247204</v>
      </c>
      <c r="M16" s="70" t="s">
        <v>114</v>
      </c>
      <c r="O16" t="s">
        <v>69</v>
      </c>
      <c r="V16" s="35"/>
    </row>
    <row r="17" spans="1:22" ht="17">
      <c r="A17">
        <v>17</v>
      </c>
      <c r="B17" s="152" t="s">
        <v>44</v>
      </c>
      <c r="C17" s="94"/>
      <c r="D17" s="72">
        <f>IF(ISTEXT($C17),VLOOKUP(B17,B$53:O$75,13,TRUE),)*(1+L8)</f>
        <v>0</v>
      </c>
      <c r="E17" s="125">
        <f t="shared" si="0"/>
        <v>0</v>
      </c>
      <c r="F17" s="126">
        <f t="shared" si="1"/>
        <v>0</v>
      </c>
      <c r="G17" s="127">
        <f t="shared" si="2"/>
        <v>0</v>
      </c>
      <c r="H17" s="119">
        <f t="shared" si="4"/>
        <v>0</v>
      </c>
      <c r="I17" s="128">
        <f t="shared" si="5"/>
        <v>0</v>
      </c>
      <c r="J17" s="121">
        <f>IF(ISTEXT($C17),0.26,)</f>
        <v>0</v>
      </c>
      <c r="K17" s="122"/>
      <c r="L17" s="90">
        <f t="shared" si="3"/>
        <v>769.58525345622127</v>
      </c>
      <c r="M17" s="70" t="s">
        <v>114</v>
      </c>
      <c r="O17" t="s">
        <v>69</v>
      </c>
      <c r="V17" s="35"/>
    </row>
    <row r="18" spans="1:22" ht="17">
      <c r="A18">
        <v>19</v>
      </c>
      <c r="B18" s="152" t="s">
        <v>45</v>
      </c>
      <c r="C18" s="94"/>
      <c r="D18" s="72">
        <f>IF(ISTEXT($C18),VLOOKUP(B18,B$53:O$75,13,TRUE),)*(1+L8)</f>
        <v>0</v>
      </c>
      <c r="E18" s="125">
        <f t="shared" si="0"/>
        <v>0</v>
      </c>
      <c r="F18" s="126">
        <f t="shared" si="1"/>
        <v>0</v>
      </c>
      <c r="G18" s="127">
        <f t="shared" si="2"/>
        <v>0</v>
      </c>
      <c r="H18" s="119">
        <f t="shared" si="4"/>
        <v>0</v>
      </c>
      <c r="I18" s="128">
        <f t="shared" si="5"/>
        <v>0</v>
      </c>
      <c r="J18" s="121">
        <f>IF(ISTEXT($C18),0.16,)</f>
        <v>0</v>
      </c>
      <c r="K18" s="122"/>
      <c r="L18" s="90">
        <f t="shared" si="3"/>
        <v>540</v>
      </c>
      <c r="M18" s="70" t="s">
        <v>114</v>
      </c>
      <c r="O18" t="s">
        <v>69</v>
      </c>
      <c r="V18" s="35"/>
    </row>
    <row r="19" spans="1:22" ht="17">
      <c r="A19">
        <v>4</v>
      </c>
      <c r="B19" s="152" t="s">
        <v>52</v>
      </c>
      <c r="C19" s="94" t="s">
        <v>35</v>
      </c>
      <c r="D19" s="72">
        <f>IF(ISTEXT($C19),VLOOKUP(B19,B$53:O$75,13,TRUE),)*(1+L8)</f>
        <v>1160.5080831408777</v>
      </c>
      <c r="E19" s="125">
        <f t="shared" si="0"/>
        <v>103.92609699769052</v>
      </c>
      <c r="F19" s="126">
        <f t="shared" si="1"/>
        <v>62.355658198614314</v>
      </c>
      <c r="G19" s="127">
        <f t="shared" si="2"/>
        <v>11.440643869675325</v>
      </c>
      <c r="H19" s="119">
        <f t="shared" si="4"/>
        <v>101.43730513427928</v>
      </c>
      <c r="I19" s="128">
        <f t="shared" si="5"/>
        <v>0.98583060608346573</v>
      </c>
      <c r="J19" s="121">
        <f>IF(ISTEXT($C19),0.39,)</f>
        <v>0.39</v>
      </c>
      <c r="K19" s="122"/>
      <c r="L19" s="90">
        <f t="shared" si="3"/>
        <v>773.67205542725173</v>
      </c>
      <c r="M19" s="70" t="s">
        <v>114</v>
      </c>
      <c r="O19" t="s">
        <v>69</v>
      </c>
      <c r="V19" s="35"/>
    </row>
    <row r="20" spans="1:22" ht="17">
      <c r="A20">
        <v>22</v>
      </c>
      <c r="B20" s="152" t="s">
        <v>53</v>
      </c>
      <c r="C20" s="94" t="s">
        <v>35</v>
      </c>
      <c r="D20" s="72">
        <f>IF(ISTEXT($C20),VLOOKUP(B20,B$53:O$75,13,TRUE),)*(1+L8)</f>
        <v>2943.75</v>
      </c>
      <c r="E20" s="125">
        <f t="shared" si="0"/>
        <v>214.58333333333334</v>
      </c>
      <c r="F20" s="126">
        <f t="shared" si="1"/>
        <v>128.75</v>
      </c>
      <c r="G20" s="127">
        <f t="shared" si="2"/>
        <v>23.622281293687497</v>
      </c>
      <c r="H20" s="119">
        <f t="shared" si="4"/>
        <v>124.617515277267</v>
      </c>
      <c r="I20" s="128">
        <f t="shared" si="5"/>
        <v>0.80245541549681509</v>
      </c>
      <c r="J20" s="121">
        <f>IF(ISTEXT($C20),0.34,)</f>
        <v>0.34</v>
      </c>
      <c r="K20" s="122"/>
      <c r="L20" s="90">
        <f t="shared" si="3"/>
        <v>1962.5</v>
      </c>
      <c r="M20" s="70" t="s">
        <v>114</v>
      </c>
      <c r="O20" t="s">
        <v>69</v>
      </c>
      <c r="V20" s="35"/>
    </row>
    <row r="21" spans="1:22" ht="17">
      <c r="A21">
        <v>1</v>
      </c>
      <c r="B21" s="152" t="s">
        <v>46</v>
      </c>
      <c r="C21" s="94"/>
      <c r="D21" s="72">
        <f>IF(ISTEXT($C21),VLOOKUP(B21,B$53:O$75,13,TRUE),)*(1+L8)</f>
        <v>0</v>
      </c>
      <c r="E21" s="125">
        <f t="shared" si="0"/>
        <v>0</v>
      </c>
      <c r="F21" s="126">
        <f t="shared" si="1"/>
        <v>0</v>
      </c>
      <c r="G21" s="127">
        <f t="shared" si="2"/>
        <v>0</v>
      </c>
      <c r="H21" s="119">
        <f t="shared" si="4"/>
        <v>0</v>
      </c>
      <c r="I21" s="128">
        <f t="shared" si="5"/>
        <v>0</v>
      </c>
      <c r="J21" s="121">
        <f>IF(ISTEXT($C21),1.34,)</f>
        <v>0</v>
      </c>
      <c r="K21" s="122"/>
      <c r="L21" s="90">
        <f t="shared" si="3"/>
        <v>4167.3684210526317</v>
      </c>
      <c r="M21" s="70" t="s">
        <v>114</v>
      </c>
      <c r="O21" t="s">
        <v>69</v>
      </c>
      <c r="V21" s="35"/>
    </row>
    <row r="22" spans="1:22" ht="17">
      <c r="A22">
        <v>10</v>
      </c>
      <c r="B22" s="152" t="s">
        <v>54</v>
      </c>
      <c r="C22" s="94" t="s">
        <v>35</v>
      </c>
      <c r="D22" s="72">
        <f>IF(ISTEXT($C22),VLOOKUP(B22,B$53:O$75,13,TRUE),)*(1+L8)</f>
        <v>3054</v>
      </c>
      <c r="E22" s="125">
        <f t="shared" si="0"/>
        <v>116.66666666666667</v>
      </c>
      <c r="F22" s="126">
        <f t="shared" si="1"/>
        <v>70</v>
      </c>
      <c r="G22" s="127">
        <f t="shared" si="2"/>
        <v>12.843182062587378</v>
      </c>
      <c r="H22" s="119">
        <f t="shared" si="4"/>
        <v>237.79153679495093</v>
      </c>
      <c r="I22" s="128">
        <f t="shared" si="5"/>
        <v>0.42053641331327363</v>
      </c>
      <c r="J22" s="121">
        <f>IF(ISTEXT($C22),0.58,)</f>
        <v>0.57999999999999996</v>
      </c>
      <c r="K22" s="122"/>
      <c r="L22" s="90">
        <f t="shared" si="3"/>
        <v>2036</v>
      </c>
      <c r="M22" s="70" t="s">
        <v>114</v>
      </c>
      <c r="O22" t="s">
        <v>69</v>
      </c>
      <c r="V22" s="35"/>
    </row>
    <row r="23" spans="1:22" ht="17">
      <c r="A23">
        <v>9</v>
      </c>
      <c r="B23" s="152" t="s">
        <v>56</v>
      </c>
      <c r="C23" s="94"/>
      <c r="D23" s="72">
        <f>IF(ISTEXT($C23),VLOOKUP(B23,B$53:O$75,13,TRUE),)*(1+L8)</f>
        <v>0</v>
      </c>
      <c r="E23" s="125">
        <f t="shared" si="0"/>
        <v>0</v>
      </c>
      <c r="F23" s="126">
        <f t="shared" si="1"/>
        <v>0</v>
      </c>
      <c r="G23" s="127">
        <f t="shared" si="2"/>
        <v>0</v>
      </c>
      <c r="H23" s="119">
        <f t="shared" si="4"/>
        <v>0</v>
      </c>
      <c r="I23" s="128">
        <f t="shared" si="5"/>
        <v>0</v>
      </c>
      <c r="J23" s="121">
        <f>IF(ISTEXT($C23),0.63,)</f>
        <v>0</v>
      </c>
      <c r="K23" s="122">
        <v>10</v>
      </c>
      <c r="L23" s="90">
        <f t="shared" si="3"/>
        <v>12145</v>
      </c>
      <c r="M23" s="70" t="s">
        <v>114</v>
      </c>
      <c r="O23" t="s">
        <v>69</v>
      </c>
      <c r="V23" s="35"/>
    </row>
    <row r="24" spans="1:22" ht="17">
      <c r="A24">
        <v>12</v>
      </c>
      <c r="B24" s="154" t="s">
        <v>40</v>
      </c>
      <c r="C24" s="94"/>
      <c r="D24" s="72">
        <f>IF(ISTEXT($C24),VLOOKUP(B24,B$53:O$75,13,TRUE),)*(1+L8)</f>
        <v>0</v>
      </c>
      <c r="E24" s="125">
        <f t="shared" si="0"/>
        <v>0</v>
      </c>
      <c r="F24" s="126">
        <f t="shared" si="1"/>
        <v>0</v>
      </c>
      <c r="G24" s="127">
        <f t="shared" si="2"/>
        <v>0</v>
      </c>
      <c r="H24" s="119">
        <f t="shared" ref="H24" si="6">IF(ISTEXT($C24),D24/G24,)</f>
        <v>0</v>
      </c>
      <c r="I24" s="128">
        <f t="shared" ref="I24" si="7">IF(ISTEXT($C24),G24/D24*100,)</f>
        <v>0</v>
      </c>
      <c r="J24" s="121">
        <f>IF(ISTEXT($C24),1.63,)</f>
        <v>0</v>
      </c>
      <c r="K24" s="122"/>
      <c r="L24" s="90">
        <f t="shared" si="3"/>
        <v>1463.7223974763408</v>
      </c>
      <c r="M24" s="70" t="s">
        <v>114</v>
      </c>
      <c r="O24" t="s">
        <v>69</v>
      </c>
      <c r="V24" s="35"/>
    </row>
    <row r="25" spans="1:22">
      <c r="A25">
        <v>20</v>
      </c>
      <c r="B25" s="154" t="s">
        <v>38</v>
      </c>
      <c r="C25" s="94"/>
      <c r="D25" s="72">
        <f>IF(ISTEXT($C25),VLOOKUP(B25,B$53:O$75,13,TRUE),)*(1+L8)</f>
        <v>0</v>
      </c>
      <c r="E25" s="125">
        <f t="shared" si="0"/>
        <v>0</v>
      </c>
      <c r="F25" s="126">
        <f t="shared" si="1"/>
        <v>0</v>
      </c>
      <c r="G25" s="127">
        <f t="shared" si="2"/>
        <v>0</v>
      </c>
      <c r="H25" s="119">
        <f t="shared" ref="H25:H26" si="8">IF(ISTEXT($C25),D25/G25,)</f>
        <v>0</v>
      </c>
      <c r="I25" s="128">
        <f t="shared" ref="I25:I26" si="9">IF(ISTEXT($C25),G25/D25*100,)</f>
        <v>0</v>
      </c>
      <c r="J25" s="124"/>
      <c r="K25" s="122"/>
      <c r="L25" s="90">
        <f t="shared" si="3"/>
        <v>546.77419354838719</v>
      </c>
      <c r="M25" t="s">
        <v>122</v>
      </c>
      <c r="O25" t="s">
        <v>69</v>
      </c>
      <c r="V25" s="35"/>
    </row>
    <row r="26" spans="1:22" ht="17">
      <c r="A26">
        <v>16</v>
      </c>
      <c r="B26" s="150" t="s">
        <v>47</v>
      </c>
      <c r="C26" s="99" t="s">
        <v>35</v>
      </c>
      <c r="D26" s="72">
        <f>IF(ISTEXT($C26),VLOOKUP(B26,B$53:O$75,13,TRUE),)*(1+L8)</f>
        <v>129.10052910052912</v>
      </c>
      <c r="E26" s="125">
        <f t="shared" si="0"/>
        <v>141.0934744268078</v>
      </c>
      <c r="F26" s="126">
        <f t="shared" si="1"/>
        <v>84.656084656084673</v>
      </c>
      <c r="G26" s="127">
        <f t="shared" si="2"/>
        <v>15.532192970627216</v>
      </c>
      <c r="H26" s="136">
        <f t="shared" si="8"/>
        <v>8.3118030624954198</v>
      </c>
      <c r="I26" s="128">
        <f t="shared" si="9"/>
        <v>12.031083899379277</v>
      </c>
      <c r="J26" s="124"/>
      <c r="K26" s="122"/>
      <c r="L26" s="90">
        <f t="shared" si="3"/>
        <v>86.067019400352748</v>
      </c>
      <c r="M26" s="70" t="s">
        <v>114</v>
      </c>
      <c r="O26" s="39" t="s">
        <v>22</v>
      </c>
      <c r="V26" s="35"/>
    </row>
    <row r="27" spans="1:22">
      <c r="A27">
        <v>25</v>
      </c>
      <c r="B27" s="151" t="s">
        <v>131</v>
      </c>
      <c r="C27" s="42" t="s">
        <v>35</v>
      </c>
      <c r="D27" s="72">
        <f>IF(ISTEXT($C27),L31,)*(1+L8)</f>
        <v>3000</v>
      </c>
      <c r="E27" s="119">
        <f>IF(ISTEXT($C27),183*L28*L29*(1-1/L30),)</f>
        <v>1647</v>
      </c>
      <c r="F27" s="119">
        <f>IF(ISTEXT($C27),E27*Intensity*GridPct,)</f>
        <v>494.09999999999997</v>
      </c>
      <c r="G27" s="127">
        <f t="shared" si="2"/>
        <v>181.30903591784065</v>
      </c>
      <c r="H27" s="136">
        <f>IF(ISTEXT($C27),D27/G27,)</f>
        <v>16.546334741746882</v>
      </c>
      <c r="I27" s="128">
        <f>IF(ISTEXT($C27),100*G27/D27,)</f>
        <v>6.0436345305946872</v>
      </c>
      <c r="J27" s="124"/>
      <c r="K27" s="122">
        <v>5.2</v>
      </c>
      <c r="L27" s="105"/>
      <c r="M27" s="33" t="s">
        <v>76</v>
      </c>
      <c r="N27" s="33"/>
      <c r="O27" s="39" t="s">
        <v>75</v>
      </c>
      <c r="V27" s="35"/>
    </row>
    <row r="28" spans="1:22">
      <c r="B28" s="151"/>
      <c r="D28" s="72"/>
      <c r="E28" s="119"/>
      <c r="F28" s="119"/>
      <c r="G28" s="127"/>
      <c r="H28" s="136"/>
      <c r="I28" s="119"/>
      <c r="J28" s="124"/>
      <c r="K28" s="122"/>
      <c r="L28" s="103">
        <v>6</v>
      </c>
      <c r="M28" t="s">
        <v>128</v>
      </c>
      <c r="N28" s="35"/>
      <c r="O28" s="39"/>
      <c r="V28" s="35"/>
    </row>
    <row r="29" spans="1:22">
      <c r="B29" s="151"/>
      <c r="D29" s="72"/>
      <c r="E29" s="119"/>
      <c r="F29" s="119"/>
      <c r="G29" s="127"/>
      <c r="H29" s="136"/>
      <c r="I29" s="119"/>
      <c r="J29" s="124"/>
      <c r="K29" s="122"/>
      <c r="L29" s="104">
        <v>2</v>
      </c>
      <c r="M29" t="s">
        <v>127</v>
      </c>
      <c r="O29" s="39"/>
      <c r="V29" s="35"/>
    </row>
    <row r="30" spans="1:22">
      <c r="A30">
        <v>25.1</v>
      </c>
      <c r="B30" s="151"/>
      <c r="D30" s="72"/>
      <c r="E30" s="137"/>
      <c r="F30" s="72"/>
      <c r="H30" s="119"/>
      <c r="I30" s="119"/>
      <c r="J30" s="124"/>
      <c r="K30" s="122"/>
      <c r="L30" s="104">
        <v>4</v>
      </c>
      <c r="M30" t="s">
        <v>77</v>
      </c>
      <c r="N30" s="35"/>
      <c r="V30" s="35"/>
    </row>
    <row r="31" spans="1:22">
      <c r="A31">
        <v>25.2</v>
      </c>
      <c r="B31" s="151"/>
      <c r="D31" s="72"/>
      <c r="H31" s="119"/>
      <c r="I31" s="119"/>
      <c r="J31" s="124"/>
      <c r="K31" s="122"/>
      <c r="L31" s="108">
        <v>2000</v>
      </c>
      <c r="M31" s="2" t="s">
        <v>78</v>
      </c>
      <c r="N31" s="36"/>
      <c r="V31" s="35"/>
    </row>
    <row r="32" spans="1:22" ht="17">
      <c r="A32">
        <v>15</v>
      </c>
      <c r="B32" s="150" t="s">
        <v>71</v>
      </c>
      <c r="C32" s="99" t="s">
        <v>35</v>
      </c>
      <c r="D32" s="72">
        <f>IF(ISTEXT($C32),VLOOKUP(B32,B$53:O$75,13,TRUE),)*(1+L8)</f>
        <v>583.60128617363341</v>
      </c>
      <c r="E32" s="125">
        <f>IF(ISTEXT($C32),F32/Intensity,)</f>
        <v>349.23186852447304</v>
      </c>
      <c r="F32" s="126">
        <f>IF(ISTEXT($C32),VLOOKUP(B32,B$53:O$75,11,TRUE)*GridPct,)</f>
        <v>209.53912111468381</v>
      </c>
      <c r="G32" s="127">
        <f>IF(ISTEXT($C32),E32*kWh_cost,)</f>
        <v>38.444986881577584</v>
      </c>
      <c r="H32" s="119">
        <f t="shared" ref="H32:H33" si="10">IF(ISTEXT($C32),D32/G32,)</f>
        <v>15.180166089568592</v>
      </c>
      <c r="I32" s="128">
        <f t="shared" ref="I32:I33" si="11">IF(ISTEXT($C32),G32/D32*100,)</f>
        <v>6.5875432067055799</v>
      </c>
      <c r="J32" s="124"/>
      <c r="K32" s="122"/>
      <c r="L32" s="90">
        <f>VLOOKUP(B32,B$53:O$75,13,TRUE)</f>
        <v>389.06752411575559</v>
      </c>
      <c r="M32" s="70" t="s">
        <v>114</v>
      </c>
      <c r="O32" t="s">
        <v>69</v>
      </c>
      <c r="V32" s="35"/>
    </row>
    <row r="33" spans="1:22">
      <c r="A33">
        <v>24</v>
      </c>
      <c r="B33" s="150" t="s">
        <v>129</v>
      </c>
      <c r="C33" s="99" t="s">
        <v>35</v>
      </c>
      <c r="D33" s="72">
        <f>IF(ISTEXT($C33),L33,)*(1+L8)</f>
        <v>5625</v>
      </c>
      <c r="E33" s="91">
        <f>IF(ISTEXT($C33),L34/0.3,)</f>
        <v>2116.666666666667</v>
      </c>
      <c r="F33" s="91">
        <f>IF(ISTEXT($C33),E33*Intensity*GridPct,)</f>
        <v>635.00000000000011</v>
      </c>
      <c r="G33" s="127">
        <f>IF(ISTEXT($C33),E33*kWh_cost,)</f>
        <v>233.01201742122814</v>
      </c>
      <c r="H33" s="119">
        <f t="shared" si="10"/>
        <v>24.140385814656891</v>
      </c>
      <c r="I33" s="128">
        <f t="shared" si="11"/>
        <v>4.1424358652662781</v>
      </c>
      <c r="J33" s="124"/>
      <c r="K33" s="122"/>
      <c r="L33" s="107">
        <v>3750</v>
      </c>
      <c r="M33" s="33" t="s">
        <v>65</v>
      </c>
      <c r="N33" s="34"/>
      <c r="O33" s="39" t="s">
        <v>29</v>
      </c>
      <c r="V33" s="35"/>
    </row>
    <row r="34" spans="1:22">
      <c r="A34">
        <v>24.1</v>
      </c>
      <c r="B34" s="151"/>
      <c r="D34" s="72"/>
      <c r="H34" s="119"/>
      <c r="I34" s="119"/>
      <c r="J34" s="124"/>
      <c r="K34" s="122"/>
      <c r="L34" s="108">
        <v>635</v>
      </c>
      <c r="M34" s="2" t="s">
        <v>67</v>
      </c>
      <c r="N34" s="36"/>
      <c r="O34" s="39" t="s">
        <v>29</v>
      </c>
      <c r="V34" s="35"/>
    </row>
    <row r="35" spans="1:22">
      <c r="A35">
        <v>23</v>
      </c>
      <c r="B35" s="152" t="s">
        <v>51</v>
      </c>
      <c r="C35" s="94"/>
      <c r="D35" s="72">
        <f>IF(ISTEXT($C35),VLOOKUP(B35,B$53:O$75,13,TRUE),)*(1+L8)</f>
        <v>0</v>
      </c>
      <c r="E35" s="125">
        <f t="shared" ref="E35:E41" si="12">IF(ISTEXT($C35),F35/Intensity,)</f>
        <v>0</v>
      </c>
      <c r="F35" s="126">
        <f t="shared" ref="F35:F41" si="13">IF(ISTEXT($C35),VLOOKUP(B35,B$53:O$75,11,TRUE)*GridPct,)</f>
        <v>0</v>
      </c>
      <c r="G35" s="127">
        <f t="shared" ref="G35:G41" si="14">IF(ISTEXT($C35),E35*kWh_cost,)</f>
        <v>0</v>
      </c>
      <c r="H35" s="119">
        <f t="shared" ref="H35:H41" si="15">IF(ISTEXT($C35),D35/G35,)</f>
        <v>0</v>
      </c>
      <c r="I35" s="128">
        <f t="shared" ref="I35:I41" si="16">IF(ISTEXT($C35),G35/D35*100,)</f>
        <v>0</v>
      </c>
      <c r="J35" s="124"/>
      <c r="K35" s="122"/>
      <c r="L35" s="90">
        <f t="shared" ref="L35:L41" si="17">VLOOKUP(B35,B$53:O$75,13,TRUE)</f>
        <v>818.18181818181824</v>
      </c>
      <c r="M35" t="s">
        <v>122</v>
      </c>
      <c r="O35" t="s">
        <v>69</v>
      </c>
      <c r="V35" s="35"/>
    </row>
    <row r="36" spans="1:22" ht="17">
      <c r="A36">
        <v>13</v>
      </c>
      <c r="B36" s="159" t="s">
        <v>39</v>
      </c>
      <c r="C36" s="95"/>
      <c r="D36" s="129">
        <f>IF(ISTEXT($C36),VLOOKUP(B36,B$53:O$75,13,TRUE),)*(1+L8)</f>
        <v>0</v>
      </c>
      <c r="E36" s="130">
        <f t="shared" si="12"/>
        <v>0</v>
      </c>
      <c r="F36" s="131">
        <f t="shared" si="13"/>
        <v>0</v>
      </c>
      <c r="G36" s="132">
        <f t="shared" si="14"/>
        <v>0</v>
      </c>
      <c r="H36" s="133">
        <f t="shared" si="15"/>
        <v>0</v>
      </c>
      <c r="I36" s="134">
        <f t="shared" si="16"/>
        <v>0</v>
      </c>
      <c r="J36" s="138"/>
      <c r="K36" s="135"/>
      <c r="L36" s="86">
        <f t="shared" si="17"/>
        <v>2777.7777777777774</v>
      </c>
      <c r="M36" s="68" t="s">
        <v>114</v>
      </c>
      <c r="N36" s="2"/>
      <c r="O36" s="2" t="s">
        <v>69</v>
      </c>
      <c r="P36" s="2"/>
      <c r="Q36" s="2"/>
      <c r="R36" s="2"/>
      <c r="S36" s="2"/>
      <c r="T36" s="2"/>
      <c r="U36" s="2"/>
      <c r="V36" s="36"/>
    </row>
    <row r="37" spans="1:22">
      <c r="A37">
        <v>18</v>
      </c>
      <c r="B37" s="154" t="s">
        <v>42</v>
      </c>
      <c r="C37" s="94"/>
      <c r="D37" s="72">
        <f>IF(ISTEXT($C37),VLOOKUP(B37,B$53:O$75,13,TRUE),)*(1+L8)</f>
        <v>0</v>
      </c>
      <c r="E37" s="125">
        <f t="shared" si="12"/>
        <v>0</v>
      </c>
      <c r="F37" s="126">
        <f t="shared" si="13"/>
        <v>0</v>
      </c>
      <c r="G37" s="127">
        <f t="shared" si="14"/>
        <v>0</v>
      </c>
      <c r="H37" s="136">
        <f t="shared" si="15"/>
        <v>0</v>
      </c>
      <c r="I37" s="128">
        <f t="shared" si="16"/>
        <v>0</v>
      </c>
      <c r="J37" s="124"/>
      <c r="K37" s="122"/>
      <c r="L37" s="90">
        <f t="shared" si="17"/>
        <v>1273.3564013840833</v>
      </c>
      <c r="M37" t="s">
        <v>122</v>
      </c>
      <c r="O37" t="s">
        <v>69</v>
      </c>
      <c r="V37" s="35"/>
    </row>
    <row r="38" spans="1:22">
      <c r="A38">
        <v>5</v>
      </c>
      <c r="B38" s="152" t="s">
        <v>55</v>
      </c>
      <c r="C38" s="94"/>
      <c r="D38" s="72">
        <f>IF(ISTEXT($C38),VLOOKUP(B38,B$53:O$75,13,TRUE),)*(1+L8)</f>
        <v>0</v>
      </c>
      <c r="E38" s="125">
        <f t="shared" si="12"/>
        <v>0</v>
      </c>
      <c r="F38" s="126">
        <f t="shared" si="13"/>
        <v>0</v>
      </c>
      <c r="G38" s="127">
        <f t="shared" si="14"/>
        <v>0</v>
      </c>
      <c r="H38" s="119">
        <f t="shared" si="15"/>
        <v>0</v>
      </c>
      <c r="I38" s="128">
        <f t="shared" si="16"/>
        <v>0</v>
      </c>
      <c r="J38" s="124"/>
      <c r="K38" s="122"/>
      <c r="L38" s="90">
        <f t="shared" si="17"/>
        <v>1213.3333333333333</v>
      </c>
      <c r="M38" t="s">
        <v>122</v>
      </c>
      <c r="O38" t="s">
        <v>69</v>
      </c>
      <c r="V38" s="35"/>
    </row>
    <row r="39" spans="1:22">
      <c r="A39">
        <v>21</v>
      </c>
      <c r="B39" s="152" t="s">
        <v>21</v>
      </c>
      <c r="C39" s="94" t="s">
        <v>35</v>
      </c>
      <c r="D39" s="72">
        <f>IF(ISTEXT($C39),VLOOKUP(B39,B$53:O$75,13,TRUE),)*(1+L8)</f>
        <v>1522.1052631578946</v>
      </c>
      <c r="E39" s="125">
        <f t="shared" si="12"/>
        <v>198.24561403508773</v>
      </c>
      <c r="F39" s="126">
        <f t="shared" si="13"/>
        <v>118.94736842105263</v>
      </c>
      <c r="G39" s="127">
        <f t="shared" si="14"/>
        <v>21.823752978531932</v>
      </c>
      <c r="H39" s="119">
        <f t="shared" si="15"/>
        <v>69.745348779157851</v>
      </c>
      <c r="I39" s="128">
        <f t="shared" si="16"/>
        <v>1.4337873671926236</v>
      </c>
      <c r="J39" s="124"/>
      <c r="K39" s="122"/>
      <c r="L39" s="90">
        <f t="shared" si="17"/>
        <v>1014.7368421052631</v>
      </c>
      <c r="M39" t="s">
        <v>122</v>
      </c>
      <c r="O39" t="s">
        <v>69</v>
      </c>
      <c r="V39" s="35"/>
    </row>
    <row r="40" spans="1:22">
      <c r="A40">
        <v>8</v>
      </c>
      <c r="B40" s="152" t="s">
        <v>4</v>
      </c>
      <c r="C40" s="94"/>
      <c r="D40" s="72">
        <f>IF(ISTEXT($C40),VLOOKUP(B40,B$53:O$75,13,TRUE),)*(1+L8)</f>
        <v>0</v>
      </c>
      <c r="E40" s="125">
        <f t="shared" si="12"/>
        <v>0</v>
      </c>
      <c r="F40" s="126">
        <f t="shared" si="13"/>
        <v>0</v>
      </c>
      <c r="G40" s="127">
        <f t="shared" si="14"/>
        <v>0</v>
      </c>
      <c r="H40" s="119">
        <f t="shared" si="15"/>
        <v>0</v>
      </c>
      <c r="I40" s="128">
        <f t="shared" si="16"/>
        <v>0</v>
      </c>
      <c r="J40" s="124"/>
      <c r="K40" s="122"/>
      <c r="L40" s="90">
        <f t="shared" si="17"/>
        <v>595.84295612009237</v>
      </c>
      <c r="M40" t="s">
        <v>122</v>
      </c>
      <c r="O40" t="s">
        <v>69</v>
      </c>
      <c r="V40" s="35"/>
    </row>
    <row r="41" spans="1:22">
      <c r="A41">
        <v>6</v>
      </c>
      <c r="B41" s="152" t="s">
        <v>41</v>
      </c>
      <c r="C41" s="94"/>
      <c r="D41" s="72">
        <f>IF(ISTEXT($C41),VLOOKUP(B41,B$53:O$75,13,TRUE),)*(1+L8)</f>
        <v>0</v>
      </c>
      <c r="E41" s="125">
        <f t="shared" si="12"/>
        <v>0</v>
      </c>
      <c r="F41" s="126">
        <f t="shared" si="13"/>
        <v>0</v>
      </c>
      <c r="G41" s="127">
        <f t="shared" si="14"/>
        <v>0</v>
      </c>
      <c r="H41" s="119">
        <f t="shared" si="15"/>
        <v>0</v>
      </c>
      <c r="I41" s="128">
        <f t="shared" si="16"/>
        <v>0</v>
      </c>
      <c r="J41" s="124"/>
      <c r="K41" s="122"/>
      <c r="L41" s="90">
        <f t="shared" si="17"/>
        <v>347.27272727272725</v>
      </c>
      <c r="M41" t="s">
        <v>122</v>
      </c>
      <c r="O41" t="s">
        <v>69</v>
      </c>
      <c r="V41" s="35"/>
    </row>
    <row r="42" spans="1:22">
      <c r="B42" s="2"/>
      <c r="C42" s="158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36"/>
    </row>
    <row r="43" spans="1:22">
      <c r="B43" s="155" t="s">
        <v>0</v>
      </c>
      <c r="D43" s="72">
        <f>SUM(D11:D41)</f>
        <v>22770.777230712265</v>
      </c>
      <c r="E43" s="156">
        <f>SUM(E11:E41)</f>
        <v>8272.7551403002835</v>
      </c>
      <c r="F43" s="157">
        <f>SUM(F11:F41)</f>
        <v>2997.6430841801698</v>
      </c>
      <c r="G43" s="72">
        <f>SUM(G11:G41)</f>
        <v>910.70143222356114</v>
      </c>
      <c r="H43" s="136">
        <f>D43/G43</f>
        <v>25.003559262134157</v>
      </c>
      <c r="I43" s="128">
        <f>G43/D43*100</f>
        <v>3.9994305991244135</v>
      </c>
      <c r="J43" s="3">
        <f>SUM(J11:J41)</f>
        <v>2.84</v>
      </c>
      <c r="K43" s="3">
        <f>SUM(K11:K41)</f>
        <v>18</v>
      </c>
      <c r="V43" s="35"/>
    </row>
    <row r="44" spans="1:22">
      <c r="B44" s="112" t="s">
        <v>134</v>
      </c>
      <c r="C44" s="113">
        <f>kWh_cost*AvYrlykWh-G43</f>
        <v>112.97356777643893</v>
      </c>
      <c r="E44" s="139"/>
      <c r="F44" s="140"/>
      <c r="H44" s="119"/>
      <c r="L44" s="6" t="s">
        <v>142</v>
      </c>
      <c r="V44" s="35"/>
    </row>
    <row r="45" spans="1:22">
      <c r="B45" s="114" t="s">
        <v>124</v>
      </c>
      <c r="C45" s="101" t="s">
        <v>35</v>
      </c>
      <c r="D45" s="141">
        <f>IF(ISTEXT(C45),$D43+UpFrontCost,)</f>
        <v>27770.777230712265</v>
      </c>
      <c r="E45" s="142">
        <f>IF(ISTEXT(C45),'Calculator Solar'!J21*E43+'Calculator Solar'!B5,)</f>
        <v>8297.3775701501418</v>
      </c>
      <c r="F45" s="142">
        <f>IF(ISTEXT(C45),F43+'Calculator Solar'!C5,)</f>
        <v>5494.2430841801697</v>
      </c>
      <c r="G45" s="143">
        <f>IF(ISTEXT(C45),G43+'Calculator Solar'!D5,)</f>
        <v>2211.7764322235612</v>
      </c>
      <c r="H45" s="144">
        <f>IF(ISTEXT($C45),D45/G45,)</f>
        <v>12.555869945134337</v>
      </c>
      <c r="I45" s="128">
        <f>IF(ISTEXT(C45),G45/D45*100,)</f>
        <v>7.9644023422488619</v>
      </c>
      <c r="J45" s="145">
        <v>2</v>
      </c>
      <c r="K45" s="145">
        <f>K43+'Calculator Solar'!G5</f>
        <v>20</v>
      </c>
      <c r="M45" t="s">
        <v>125</v>
      </c>
      <c r="V45" s="35"/>
    </row>
    <row r="46" spans="1:22">
      <c r="B46" s="115" t="s">
        <v>133</v>
      </c>
      <c r="C46" s="116">
        <f>IF(ISTEXT($C45),D45+ROUND(C44,0)*20,D43+ROUND(C44,0)*20)</f>
        <v>30030.777230712265</v>
      </c>
      <c r="O46" t="s">
        <v>132</v>
      </c>
      <c r="V46" s="35"/>
    </row>
    <row r="47" spans="1:22">
      <c r="C47"/>
    </row>
    <row r="48" spans="1:22">
      <c r="B48" s="1" t="s">
        <v>121</v>
      </c>
      <c r="I48"/>
    </row>
    <row r="49" spans="1:19">
      <c r="B49" s="1" t="s">
        <v>43</v>
      </c>
      <c r="C49" s="40"/>
    </row>
    <row r="50" spans="1:19">
      <c r="S50" s="1"/>
    </row>
    <row r="51" spans="1:19">
      <c r="B51" s="1"/>
      <c r="C51" s="1"/>
      <c r="D51" s="5"/>
      <c r="E51" s="16" t="s">
        <v>20</v>
      </c>
      <c r="F51" s="5"/>
      <c r="G51" s="23"/>
      <c r="H51" s="23"/>
      <c r="I51" s="2"/>
      <c r="J51" s="2"/>
      <c r="K51" s="2"/>
      <c r="L51" s="2"/>
      <c r="M51" s="2"/>
      <c r="N51" s="2"/>
      <c r="O51" s="2"/>
      <c r="S51" s="24"/>
    </row>
    <row r="52" spans="1:19" ht="102">
      <c r="B52" s="17" t="s">
        <v>11</v>
      </c>
      <c r="C52" s="18" t="s">
        <v>6</v>
      </c>
      <c r="D52" s="18" t="s">
        <v>2</v>
      </c>
      <c r="E52" s="18" t="s">
        <v>1</v>
      </c>
      <c r="F52" s="25" t="s">
        <v>59</v>
      </c>
      <c r="G52" s="25" t="s">
        <v>68</v>
      </c>
      <c r="H52" s="25" t="s">
        <v>7</v>
      </c>
      <c r="I52" s="37" t="s">
        <v>8</v>
      </c>
      <c r="J52" s="18" t="s">
        <v>9</v>
      </c>
      <c r="K52" s="18" t="s">
        <v>10</v>
      </c>
      <c r="L52" s="111" t="s">
        <v>18</v>
      </c>
      <c r="M52" s="111" t="s">
        <v>63</v>
      </c>
      <c r="N52" s="18" t="s">
        <v>13</v>
      </c>
      <c r="O52" s="18" t="s">
        <v>16</v>
      </c>
      <c r="P52" s="147"/>
      <c r="S52" s="3"/>
    </row>
    <row r="53" spans="1:19">
      <c r="A53">
        <v>1</v>
      </c>
      <c r="B53" s="15" t="s">
        <v>46</v>
      </c>
      <c r="C53" s="44">
        <v>0.95</v>
      </c>
      <c r="D53" s="46">
        <v>5283</v>
      </c>
      <c r="E53" s="46">
        <v>130</v>
      </c>
      <c r="F53" s="91">
        <f t="shared" ref="F53:F75" si="18">D53/3.6+E53/3.6</f>
        <v>1503.6111111111111</v>
      </c>
      <c r="G53" s="59">
        <f t="shared" ref="G53:G77" si="19">100*F53/F$79</f>
        <v>8.0343646982096448</v>
      </c>
      <c r="H53" s="46">
        <v>334</v>
      </c>
      <c r="I53" s="79">
        <v>132.9</v>
      </c>
      <c r="J53" s="79">
        <v>3959</v>
      </c>
      <c r="K53" s="45">
        <v>29.8</v>
      </c>
      <c r="L53" s="28">
        <f t="shared" ref="L53:L75" si="20">H53*60/(C53*60)</f>
        <v>351.57894736842104</v>
      </c>
      <c r="M53" s="31">
        <f t="shared" ref="M53:M75" si="21">L53/F$79</f>
        <v>1.8786197192192825E-2</v>
      </c>
      <c r="N53" s="74">
        <f t="shared" ref="N53:N75" si="22">J53*60/(C53*60)</f>
        <v>4167.3684210526317</v>
      </c>
      <c r="O53" s="3">
        <f t="shared" ref="O53:O75" si="23">L53/N53</f>
        <v>8.4364738570346043E-2</v>
      </c>
      <c r="S53" s="3"/>
    </row>
    <row r="54" spans="1:19">
      <c r="A54">
        <v>2</v>
      </c>
      <c r="B54" s="15" t="s">
        <v>49</v>
      </c>
      <c r="C54" s="43">
        <v>0.33300000000000002</v>
      </c>
      <c r="D54" s="8">
        <v>1630</v>
      </c>
      <c r="E54" s="8">
        <v>68</v>
      </c>
      <c r="F54" s="91">
        <f t="shared" si="18"/>
        <v>471.66666666666669</v>
      </c>
      <c r="G54" s="59">
        <f t="shared" si="19"/>
        <v>2.5202939696212785</v>
      </c>
      <c r="H54" s="8">
        <v>112</v>
      </c>
      <c r="I54" s="30">
        <v>43.6</v>
      </c>
      <c r="J54" s="30">
        <v>278</v>
      </c>
      <c r="K54" s="45">
        <v>6.4</v>
      </c>
      <c r="L54" s="28">
        <f t="shared" si="20"/>
        <v>336.33633633633633</v>
      </c>
      <c r="M54" s="31">
        <f t="shared" si="21"/>
        <v>1.7971726648049097E-2</v>
      </c>
      <c r="N54" s="74">
        <f t="shared" si="22"/>
        <v>834.83483483483485</v>
      </c>
      <c r="O54" s="3">
        <f t="shared" si="23"/>
        <v>0.40287769784172661</v>
      </c>
      <c r="S54" s="3"/>
    </row>
    <row r="55" spans="1:19">
      <c r="A55">
        <v>3</v>
      </c>
      <c r="B55" s="15" t="s">
        <v>48</v>
      </c>
      <c r="C55" s="43">
        <v>0.11700000000000001</v>
      </c>
      <c r="D55" s="46">
        <v>958</v>
      </c>
      <c r="E55" s="46">
        <v>32</v>
      </c>
      <c r="F55" s="91">
        <f t="shared" si="18"/>
        <v>275</v>
      </c>
      <c r="G55" s="59">
        <f t="shared" si="19"/>
        <v>1.4694293462456214</v>
      </c>
      <c r="H55" s="46">
        <v>63</v>
      </c>
      <c r="I55" s="79">
        <v>24.9</v>
      </c>
      <c r="J55" s="79">
        <v>79</v>
      </c>
      <c r="K55" s="45">
        <v>3.2</v>
      </c>
      <c r="L55" s="28">
        <f t="shared" si="20"/>
        <v>538.46153846153845</v>
      </c>
      <c r="M55" s="31">
        <f t="shared" si="21"/>
        <v>2.877204314327091E-2</v>
      </c>
      <c r="N55" s="74">
        <f t="shared" si="22"/>
        <v>675.21367521367517</v>
      </c>
      <c r="O55" s="3">
        <f t="shared" si="23"/>
        <v>0.79746835443037978</v>
      </c>
      <c r="S55" s="3"/>
    </row>
    <row r="56" spans="1:19">
      <c r="A56">
        <v>4</v>
      </c>
      <c r="B56" s="15" t="s">
        <v>52</v>
      </c>
      <c r="C56" s="43">
        <v>0.433</v>
      </c>
      <c r="D56" s="62">
        <v>853</v>
      </c>
      <c r="E56" s="62">
        <v>22</v>
      </c>
      <c r="F56" s="91">
        <f t="shared" si="18"/>
        <v>243.05555555555554</v>
      </c>
      <c r="G56" s="59">
        <f t="shared" si="19"/>
        <v>1.2987380585504229</v>
      </c>
      <c r="H56" s="62">
        <v>54</v>
      </c>
      <c r="I56" s="80">
        <v>21.5</v>
      </c>
      <c r="J56" s="80">
        <v>335</v>
      </c>
      <c r="K56" s="45">
        <v>15.6</v>
      </c>
      <c r="L56" s="28">
        <f t="shared" si="20"/>
        <v>124.71131639722863</v>
      </c>
      <c r="M56" s="63">
        <f t="shared" si="21"/>
        <v>6.663798840836746E-3</v>
      </c>
      <c r="N56" s="90">
        <f t="shared" si="22"/>
        <v>773.67205542725173</v>
      </c>
      <c r="O56" s="3">
        <f t="shared" si="23"/>
        <v>0.16119402985074627</v>
      </c>
      <c r="S56" s="3"/>
    </row>
    <row r="57" spans="1:19">
      <c r="A57">
        <v>5</v>
      </c>
      <c r="B57" s="15" t="s">
        <v>55</v>
      </c>
      <c r="C57" s="43">
        <v>0.6</v>
      </c>
      <c r="D57" s="46">
        <v>0</v>
      </c>
      <c r="E57" s="46">
        <v>124</v>
      </c>
      <c r="F57" s="91">
        <f t="shared" si="18"/>
        <v>34.444444444444443</v>
      </c>
      <c r="G57" s="59">
        <f t="shared" si="19"/>
        <v>0.18404973629743138</v>
      </c>
      <c r="H57" s="62">
        <v>40</v>
      </c>
      <c r="I57" s="80">
        <v>11.4</v>
      </c>
      <c r="J57" s="80">
        <v>728</v>
      </c>
      <c r="K57" s="50">
        <v>64</v>
      </c>
      <c r="L57" s="28">
        <f t="shared" si="20"/>
        <v>66.666666666666671</v>
      </c>
      <c r="M57" s="63">
        <f t="shared" si="21"/>
        <v>3.5622529605954462E-3</v>
      </c>
      <c r="N57" s="74">
        <f t="shared" si="22"/>
        <v>1213.3333333333333</v>
      </c>
      <c r="O57" s="3">
        <f t="shared" si="23"/>
        <v>5.4945054945054951E-2</v>
      </c>
      <c r="S57" s="3"/>
    </row>
    <row r="58" spans="1:19">
      <c r="A58">
        <v>6</v>
      </c>
      <c r="B58" s="15" t="s">
        <v>41</v>
      </c>
      <c r="C58" s="43">
        <v>0.55000000000000004</v>
      </c>
      <c r="D58" s="8">
        <v>135</v>
      </c>
      <c r="E58" s="8">
        <v>16</v>
      </c>
      <c r="F58" s="91">
        <f t="shared" si="18"/>
        <v>41.944444444444443</v>
      </c>
      <c r="G58" s="59">
        <f t="shared" si="19"/>
        <v>0.22412508210413015</v>
      </c>
      <c r="H58" s="8">
        <v>13</v>
      </c>
      <c r="I58" s="30">
        <v>26</v>
      </c>
      <c r="J58" s="30">
        <v>191</v>
      </c>
      <c r="K58" s="45">
        <v>7.4</v>
      </c>
      <c r="L58" s="28">
        <f t="shared" si="20"/>
        <v>23.636363636363637</v>
      </c>
      <c r="M58" s="31">
        <f t="shared" si="21"/>
        <v>1.2629805951202037E-3</v>
      </c>
      <c r="N58" s="74">
        <f t="shared" si="22"/>
        <v>347.27272727272725</v>
      </c>
      <c r="O58" s="3">
        <f t="shared" si="23"/>
        <v>6.8062827225130892E-2</v>
      </c>
      <c r="S58" s="3"/>
    </row>
    <row r="59" spans="1:19">
      <c r="A59">
        <v>7</v>
      </c>
      <c r="B59" s="15" t="s">
        <v>5</v>
      </c>
      <c r="C59" s="43">
        <v>0.4</v>
      </c>
      <c r="D59" s="46">
        <v>0</v>
      </c>
      <c r="E59" s="46">
        <v>160</v>
      </c>
      <c r="F59" s="91">
        <f t="shared" si="18"/>
        <v>44.444444444444443</v>
      </c>
      <c r="G59" s="59">
        <f t="shared" si="19"/>
        <v>0.23748353070636305</v>
      </c>
      <c r="H59" s="46">
        <v>52</v>
      </c>
      <c r="I59" s="79">
        <v>14.7</v>
      </c>
      <c r="J59" s="79">
        <v>465</v>
      </c>
      <c r="K59" s="45">
        <v>31.5</v>
      </c>
      <c r="L59" s="28">
        <f t="shared" si="20"/>
        <v>130</v>
      </c>
      <c r="M59" s="31">
        <f t="shared" si="21"/>
        <v>6.94639327316112E-3</v>
      </c>
      <c r="N59" s="74">
        <f t="shared" si="22"/>
        <v>1162.5</v>
      </c>
      <c r="O59" s="3">
        <f t="shared" si="23"/>
        <v>0.11182795698924732</v>
      </c>
      <c r="S59" s="3"/>
    </row>
    <row r="60" spans="1:19">
      <c r="A60">
        <v>8</v>
      </c>
      <c r="B60" s="15" t="s">
        <v>4</v>
      </c>
      <c r="C60" s="43">
        <v>0.433</v>
      </c>
      <c r="D60" s="46">
        <v>0</v>
      </c>
      <c r="E60" s="46">
        <v>112</v>
      </c>
      <c r="F60" s="91">
        <f t="shared" si="18"/>
        <v>31.111111111111111</v>
      </c>
      <c r="G60" s="59">
        <f t="shared" si="19"/>
        <v>0.16623847149445414</v>
      </c>
      <c r="H60" s="62">
        <v>36</v>
      </c>
      <c r="I60" s="80">
        <v>12</v>
      </c>
      <c r="J60" s="80">
        <v>258</v>
      </c>
      <c r="K60" s="45">
        <v>21.6</v>
      </c>
      <c r="L60" s="28">
        <f t="shared" si="20"/>
        <v>83.140877598152429</v>
      </c>
      <c r="M60" s="63">
        <f t="shared" si="21"/>
        <v>4.442532560557831E-3</v>
      </c>
      <c r="N60" s="74">
        <f t="shared" si="22"/>
        <v>595.84295612009237</v>
      </c>
      <c r="O60" s="3">
        <f t="shared" si="23"/>
        <v>0.13953488372093023</v>
      </c>
      <c r="S60" s="3"/>
    </row>
    <row r="61" spans="1:19">
      <c r="A61">
        <v>9</v>
      </c>
      <c r="B61" s="15" t="s">
        <v>56</v>
      </c>
      <c r="C61" s="43">
        <v>1</v>
      </c>
      <c r="D61" s="46">
        <v>2278</v>
      </c>
      <c r="E61" s="46">
        <v>66</v>
      </c>
      <c r="F61" s="91">
        <f t="shared" si="18"/>
        <v>651.11111111111109</v>
      </c>
      <c r="G61" s="59">
        <f t="shared" si="19"/>
        <v>3.4791337248482188</v>
      </c>
      <c r="H61" s="46">
        <v>147</v>
      </c>
      <c r="I61" s="79">
        <v>58.2</v>
      </c>
      <c r="J61" s="79">
        <v>12145</v>
      </c>
      <c r="K61" s="50">
        <v>209</v>
      </c>
      <c r="L61" s="28">
        <f t="shared" si="20"/>
        <v>147</v>
      </c>
      <c r="M61" s="31">
        <f t="shared" si="21"/>
        <v>7.8547677781129581E-3</v>
      </c>
      <c r="N61" s="74">
        <f t="shared" si="22"/>
        <v>12145</v>
      </c>
      <c r="O61" s="3">
        <f t="shared" si="23"/>
        <v>1.2103746397694525E-2</v>
      </c>
      <c r="S61" s="3"/>
    </row>
    <row r="62" spans="1:19">
      <c r="A62">
        <v>10</v>
      </c>
      <c r="B62" s="15" t="s">
        <v>54</v>
      </c>
      <c r="C62" s="43">
        <v>1</v>
      </c>
      <c r="D62" s="46">
        <v>2209</v>
      </c>
      <c r="E62" s="46">
        <v>54</v>
      </c>
      <c r="F62" s="91">
        <f t="shared" si="18"/>
        <v>628.61111111111109</v>
      </c>
      <c r="G62" s="59">
        <f t="shared" si="19"/>
        <v>3.3589076874281227</v>
      </c>
      <c r="H62" s="46">
        <v>140</v>
      </c>
      <c r="I62" s="79">
        <v>55.6</v>
      </c>
      <c r="J62" s="79">
        <v>2036</v>
      </c>
      <c r="K62" s="45">
        <v>36.6</v>
      </c>
      <c r="L62" s="28">
        <f t="shared" si="20"/>
        <v>140</v>
      </c>
      <c r="M62" s="31">
        <f t="shared" si="21"/>
        <v>7.4807312172504364E-3</v>
      </c>
      <c r="N62" s="74">
        <f t="shared" si="22"/>
        <v>2036</v>
      </c>
      <c r="O62" s="3">
        <f t="shared" si="23"/>
        <v>6.8762278978389005E-2</v>
      </c>
      <c r="S62" s="3"/>
    </row>
    <row r="63" spans="1:19">
      <c r="A63">
        <v>11</v>
      </c>
      <c r="B63" s="15" t="s">
        <v>50</v>
      </c>
      <c r="C63" s="43">
        <v>0.98299999999999998</v>
      </c>
      <c r="D63" s="8">
        <v>5779</v>
      </c>
      <c r="E63" s="8">
        <v>164</v>
      </c>
      <c r="F63" s="91">
        <f t="shared" si="18"/>
        <v>1650.8333333333335</v>
      </c>
      <c r="G63" s="59">
        <f t="shared" si="19"/>
        <v>8.8210288936744732</v>
      </c>
      <c r="H63" s="8">
        <v>372</v>
      </c>
      <c r="I63" s="30">
        <v>147.4</v>
      </c>
      <c r="J63" s="30">
        <v>1020</v>
      </c>
      <c r="K63" s="45">
        <v>6.9</v>
      </c>
      <c r="L63" s="28">
        <f t="shared" si="20"/>
        <v>378.43336724313326</v>
      </c>
      <c r="M63" s="31">
        <f t="shared" si="21"/>
        <v>2.0221130742749328E-2</v>
      </c>
      <c r="N63" s="74">
        <f t="shared" si="22"/>
        <v>1037.6398779247204</v>
      </c>
      <c r="O63" s="3">
        <f t="shared" si="23"/>
        <v>0.3647058823529411</v>
      </c>
      <c r="S63" s="3"/>
    </row>
    <row r="64" spans="1:19">
      <c r="A64">
        <v>12</v>
      </c>
      <c r="B64" s="15" t="s">
        <v>40</v>
      </c>
      <c r="C64" s="43">
        <v>0.317</v>
      </c>
      <c r="D64" s="62">
        <v>0</v>
      </c>
      <c r="E64" s="62">
        <v>9</v>
      </c>
      <c r="F64" s="91">
        <f t="shared" si="18"/>
        <v>2.5</v>
      </c>
      <c r="G64" s="59">
        <f t="shared" si="19"/>
        <v>1.3358448602232923E-2</v>
      </c>
      <c r="H64" s="62">
        <v>3</v>
      </c>
      <c r="I64" s="80">
        <v>0.8</v>
      </c>
      <c r="J64" s="80">
        <v>464</v>
      </c>
      <c r="K64" s="50">
        <v>587</v>
      </c>
      <c r="L64" s="28">
        <f t="shared" si="20"/>
        <v>9.4637223974763405</v>
      </c>
      <c r="M64" s="63">
        <f t="shared" si="21"/>
        <v>5.0568259692995287E-4</v>
      </c>
      <c r="N64" s="90">
        <f t="shared" si="22"/>
        <v>1463.7223974763408</v>
      </c>
      <c r="O64" s="3">
        <f t="shared" si="23"/>
        <v>6.4655172413793094E-3</v>
      </c>
      <c r="S64" s="3"/>
    </row>
    <row r="65" spans="1:19">
      <c r="A65">
        <v>13</v>
      </c>
      <c r="B65" s="15" t="s">
        <v>39</v>
      </c>
      <c r="C65" s="43">
        <v>0.126</v>
      </c>
      <c r="D65" s="46">
        <v>1126</v>
      </c>
      <c r="E65" s="46">
        <v>9</v>
      </c>
      <c r="F65" s="91">
        <f t="shared" si="18"/>
        <v>315.27777777777777</v>
      </c>
      <c r="G65" s="59">
        <f t="shared" si="19"/>
        <v>1.684648795948263</v>
      </c>
      <c r="H65" s="46">
        <v>65</v>
      </c>
      <c r="I65" s="79">
        <v>26.6</v>
      </c>
      <c r="J65" s="79">
        <v>350</v>
      </c>
      <c r="K65" s="45">
        <v>13.1</v>
      </c>
      <c r="L65" s="28">
        <f t="shared" si="20"/>
        <v>515.87301587301579</v>
      </c>
      <c r="M65" s="31">
        <f t="shared" si="21"/>
        <v>2.7565052671274279E-2</v>
      </c>
      <c r="N65" s="74">
        <f t="shared" si="22"/>
        <v>2777.7777777777774</v>
      </c>
      <c r="O65" s="3">
        <f t="shared" si="23"/>
        <v>0.18571428571428572</v>
      </c>
      <c r="S65" s="3"/>
    </row>
    <row r="66" spans="1:19">
      <c r="A66">
        <v>14</v>
      </c>
      <c r="B66" s="56" t="s">
        <v>119</v>
      </c>
      <c r="C66" s="57">
        <v>0.8</v>
      </c>
      <c r="D66" s="9">
        <v>6239</v>
      </c>
      <c r="E66" s="9">
        <v>215</v>
      </c>
      <c r="F66" s="92">
        <f t="shared" si="18"/>
        <v>1792.7777777777776</v>
      </c>
      <c r="G66" s="60">
        <f t="shared" si="19"/>
        <v>9.5794919198679196</v>
      </c>
      <c r="H66" s="9">
        <v>414</v>
      </c>
      <c r="I66" s="83">
        <v>162.69999999999999</v>
      </c>
      <c r="J66" s="83">
        <v>1111</v>
      </c>
      <c r="K66" s="85">
        <v>6.8</v>
      </c>
      <c r="L66" s="29">
        <f t="shared" si="20"/>
        <v>517.5</v>
      </c>
      <c r="M66" s="54">
        <f t="shared" si="21"/>
        <v>2.7651988606622151E-2</v>
      </c>
      <c r="N66" s="86">
        <f t="shared" si="22"/>
        <v>1388.75</v>
      </c>
      <c r="O66" s="58">
        <f t="shared" si="23"/>
        <v>0.37263726372637263</v>
      </c>
      <c r="S66" s="3"/>
    </row>
    <row r="67" spans="1:19">
      <c r="A67">
        <v>15</v>
      </c>
      <c r="B67" s="15" t="s">
        <v>71</v>
      </c>
      <c r="C67" s="43">
        <v>0.93300000000000005</v>
      </c>
      <c r="D67" s="8">
        <v>0</v>
      </c>
      <c r="E67" s="8">
        <v>1202</v>
      </c>
      <c r="F67" s="91">
        <f t="shared" si="18"/>
        <v>333.88888888888886</v>
      </c>
      <c r="G67" s="59">
        <f t="shared" si="19"/>
        <v>1.7840950244315523</v>
      </c>
      <c r="H67" s="8">
        <v>391</v>
      </c>
      <c r="I67" s="30">
        <v>110.6</v>
      </c>
      <c r="J67" s="30">
        <v>363</v>
      </c>
      <c r="K67" s="45">
        <f>J67/I67</f>
        <v>3.282097649186257</v>
      </c>
      <c r="L67" s="28">
        <f t="shared" si="20"/>
        <v>419.07824222936762</v>
      </c>
      <c r="M67" s="31">
        <f t="shared" si="21"/>
        <v>2.2392940636540504E-2</v>
      </c>
      <c r="N67" s="74">
        <f t="shared" si="22"/>
        <v>389.06752411575559</v>
      </c>
      <c r="O67" s="3">
        <f t="shared" si="23"/>
        <v>1.0771349862258954</v>
      </c>
      <c r="S67" s="3"/>
    </row>
    <row r="68" spans="1:19">
      <c r="A68">
        <v>16</v>
      </c>
      <c r="B68" s="15" t="s">
        <v>47</v>
      </c>
      <c r="C68" s="43">
        <v>0.56699999999999995</v>
      </c>
      <c r="D68" s="46">
        <v>1333</v>
      </c>
      <c r="E68" s="46">
        <v>69</v>
      </c>
      <c r="F68" s="91">
        <f t="shared" si="18"/>
        <v>389.44444444444446</v>
      </c>
      <c r="G68" s="59">
        <f t="shared" si="19"/>
        <v>2.0809494378145064</v>
      </c>
      <c r="H68" s="46">
        <v>96</v>
      </c>
      <c r="I68" s="79">
        <v>65.3</v>
      </c>
      <c r="J68" s="79">
        <v>48.8</v>
      </c>
      <c r="K68" s="45">
        <v>0.7</v>
      </c>
      <c r="L68" s="28">
        <f t="shared" si="20"/>
        <v>169.31216931216935</v>
      </c>
      <c r="M68" s="31">
        <f t="shared" si="21"/>
        <v>9.0469916459566899E-3</v>
      </c>
      <c r="N68" s="74">
        <f t="shared" si="22"/>
        <v>86.067019400352748</v>
      </c>
      <c r="O68" s="3">
        <f t="shared" si="23"/>
        <v>1.9672131147540983</v>
      </c>
      <c r="S68" s="3"/>
    </row>
    <row r="69" spans="1:19">
      <c r="A69">
        <v>17</v>
      </c>
      <c r="B69" s="15" t="s">
        <v>44</v>
      </c>
      <c r="C69" s="43">
        <v>0.217</v>
      </c>
      <c r="D69" s="46">
        <v>589</v>
      </c>
      <c r="E69" s="46">
        <v>12</v>
      </c>
      <c r="F69" s="91">
        <f t="shared" si="18"/>
        <v>166.94444444444446</v>
      </c>
      <c r="G69" s="59">
        <f t="shared" si="19"/>
        <v>0.89204751221577627</v>
      </c>
      <c r="H69" s="46">
        <v>36</v>
      </c>
      <c r="I69" s="79">
        <v>14.6</v>
      </c>
      <c r="J69" s="79">
        <v>167</v>
      </c>
      <c r="K69" s="45">
        <v>11.4</v>
      </c>
      <c r="L69" s="28">
        <f t="shared" si="20"/>
        <v>165.89861751152074</v>
      </c>
      <c r="M69" s="31">
        <f t="shared" si="21"/>
        <v>8.8645926208365932E-3</v>
      </c>
      <c r="N69" s="74">
        <f t="shared" si="22"/>
        <v>769.58525345622127</v>
      </c>
      <c r="O69" s="3">
        <f t="shared" si="23"/>
        <v>0.21556886227544908</v>
      </c>
      <c r="S69" s="3"/>
    </row>
    <row r="70" spans="1:19">
      <c r="A70">
        <v>18</v>
      </c>
      <c r="B70" s="15" t="s">
        <v>42</v>
      </c>
      <c r="C70" s="43">
        <v>0.86699999999999999</v>
      </c>
      <c r="D70" s="46">
        <v>0</v>
      </c>
      <c r="E70" s="46">
        <v>1202</v>
      </c>
      <c r="F70" s="91">
        <f t="shared" si="18"/>
        <v>333.88888888888886</v>
      </c>
      <c r="G70" s="59">
        <f t="shared" si="19"/>
        <v>1.7840950244315523</v>
      </c>
      <c r="H70" s="46">
        <v>391</v>
      </c>
      <c r="I70" s="79">
        <v>110.6</v>
      </c>
      <c r="J70" s="79">
        <v>1104</v>
      </c>
      <c r="K70" s="45">
        <v>10</v>
      </c>
      <c r="L70" s="28">
        <f t="shared" si="20"/>
        <v>450.98039215686276</v>
      </c>
      <c r="M70" s="31">
        <f t="shared" si="21"/>
        <v>2.4097593556969193E-2</v>
      </c>
      <c r="N70" s="74">
        <f t="shared" si="22"/>
        <v>1273.3564013840833</v>
      </c>
      <c r="O70" s="3">
        <f t="shared" si="23"/>
        <v>0.35416666666666663</v>
      </c>
      <c r="S70" s="3"/>
    </row>
    <row r="71" spans="1:19">
      <c r="A71">
        <v>19</v>
      </c>
      <c r="B71" s="15" t="s">
        <v>45</v>
      </c>
      <c r="C71" s="43">
        <v>0.5</v>
      </c>
      <c r="D71" s="46">
        <v>903</v>
      </c>
      <c r="E71" s="46">
        <v>24</v>
      </c>
      <c r="F71" s="91">
        <f t="shared" si="18"/>
        <v>257.5</v>
      </c>
      <c r="G71" s="59">
        <f t="shared" si="19"/>
        <v>1.3759202060299911</v>
      </c>
      <c r="H71" s="46">
        <v>58</v>
      </c>
      <c r="I71" s="79">
        <v>22.9</v>
      </c>
      <c r="J71" s="79">
        <v>270</v>
      </c>
      <c r="K71" s="45">
        <v>11.8</v>
      </c>
      <c r="L71" s="28">
        <f t="shared" si="20"/>
        <v>116</v>
      </c>
      <c r="M71" s="31">
        <f t="shared" si="21"/>
        <v>6.1983201514360757E-3</v>
      </c>
      <c r="N71" s="74">
        <f t="shared" si="22"/>
        <v>540</v>
      </c>
      <c r="O71" s="3">
        <f t="shared" si="23"/>
        <v>0.21481481481481482</v>
      </c>
      <c r="S71" s="3"/>
    </row>
    <row r="72" spans="1:19">
      <c r="A72">
        <v>20</v>
      </c>
      <c r="B72" s="15" t="s">
        <v>38</v>
      </c>
      <c r="C72" s="43">
        <v>6.2E-2</v>
      </c>
      <c r="D72" s="46">
        <v>0</v>
      </c>
      <c r="E72" s="46">
        <v>231</v>
      </c>
      <c r="F72" s="91">
        <f t="shared" si="18"/>
        <v>64.166666666666671</v>
      </c>
      <c r="G72" s="59">
        <f t="shared" si="19"/>
        <v>0.34286684745731172</v>
      </c>
      <c r="H72" s="46">
        <v>75</v>
      </c>
      <c r="I72" s="79">
        <v>16.600000000000001</v>
      </c>
      <c r="J72" s="79">
        <v>33.9</v>
      </c>
      <c r="K72" s="45">
        <v>2</v>
      </c>
      <c r="L72" s="28">
        <f t="shared" si="20"/>
        <v>1209.6774193548388</v>
      </c>
      <c r="M72" s="31">
        <f t="shared" si="21"/>
        <v>6.46376545269335E-2</v>
      </c>
      <c r="N72" s="74">
        <f t="shared" si="22"/>
        <v>546.77419354838719</v>
      </c>
      <c r="O72" s="3">
        <f t="shared" si="23"/>
        <v>2.2123893805309733</v>
      </c>
      <c r="S72" s="3"/>
    </row>
    <row r="73" spans="1:19">
      <c r="A73">
        <v>21</v>
      </c>
      <c r="B73" s="15" t="s">
        <v>21</v>
      </c>
      <c r="C73" s="43">
        <v>0.95</v>
      </c>
      <c r="D73" s="46">
        <v>0</v>
      </c>
      <c r="E73" s="46">
        <v>696</v>
      </c>
      <c r="F73" s="91">
        <f t="shared" si="18"/>
        <v>193.33333333333331</v>
      </c>
      <c r="G73" s="59">
        <f t="shared" si="19"/>
        <v>1.0330533585726793</v>
      </c>
      <c r="H73" s="46">
        <v>226</v>
      </c>
      <c r="I73" s="79">
        <v>64</v>
      </c>
      <c r="J73" s="79">
        <v>964</v>
      </c>
      <c r="K73" s="45">
        <v>15.1</v>
      </c>
      <c r="L73" s="28">
        <f t="shared" si="20"/>
        <v>237.89473684210526</v>
      </c>
      <c r="M73" s="31">
        <f t="shared" si="21"/>
        <v>1.2711618459387959E-2</v>
      </c>
      <c r="N73" s="74">
        <f t="shared" si="22"/>
        <v>1014.7368421052631</v>
      </c>
      <c r="O73" s="3">
        <f t="shared" si="23"/>
        <v>0.23443983402489627</v>
      </c>
      <c r="S73" s="3"/>
    </row>
    <row r="74" spans="1:19">
      <c r="A74">
        <v>22</v>
      </c>
      <c r="B74" s="15" t="s">
        <v>53</v>
      </c>
      <c r="C74" s="43">
        <v>0.4</v>
      </c>
      <c r="D74" s="46">
        <v>1803</v>
      </c>
      <c r="E74" s="46">
        <v>10</v>
      </c>
      <c r="F74" s="91">
        <f t="shared" si="18"/>
        <v>503.61111111111109</v>
      </c>
      <c r="G74" s="59">
        <f t="shared" si="19"/>
        <v>2.6909852573164765</v>
      </c>
      <c r="H74" s="46">
        <v>103</v>
      </c>
      <c r="I74" s="79">
        <v>42.2</v>
      </c>
      <c r="J74" s="79">
        <v>785</v>
      </c>
      <c r="K74" s="45">
        <v>18.600000000000001</v>
      </c>
      <c r="L74" s="28">
        <f t="shared" si="20"/>
        <v>257.5</v>
      </c>
      <c r="M74" s="31">
        <f t="shared" si="21"/>
        <v>1.3759202060299911E-2</v>
      </c>
      <c r="N74" s="74">
        <f t="shared" si="22"/>
        <v>1962.5</v>
      </c>
      <c r="O74" s="3">
        <f t="shared" si="23"/>
        <v>0.13121019108280255</v>
      </c>
      <c r="S74" s="3"/>
    </row>
    <row r="75" spans="1:19">
      <c r="A75">
        <v>23</v>
      </c>
      <c r="B75" s="15" t="s">
        <v>51</v>
      </c>
      <c r="C75" s="43">
        <v>0.58299999999999996</v>
      </c>
      <c r="D75" s="46">
        <v>460</v>
      </c>
      <c r="E75" s="46">
        <v>1004</v>
      </c>
      <c r="F75" s="92">
        <f t="shared" si="18"/>
        <v>406.66666666666663</v>
      </c>
      <c r="G75" s="60">
        <f t="shared" si="19"/>
        <v>2.1729743059632218</v>
      </c>
      <c r="H75" s="49">
        <v>352</v>
      </c>
      <c r="I75" s="81">
        <v>62.2</v>
      </c>
      <c r="J75" s="81">
        <v>477</v>
      </c>
      <c r="K75" s="84">
        <v>7.7</v>
      </c>
      <c r="L75" s="29">
        <f t="shared" si="20"/>
        <v>603.77358490566041</v>
      </c>
      <c r="M75" s="54">
        <f t="shared" si="21"/>
        <v>3.2261913605392718E-2</v>
      </c>
      <c r="N75" s="74">
        <f t="shared" si="22"/>
        <v>818.18181818181824</v>
      </c>
      <c r="O75" s="3">
        <f t="shared" si="23"/>
        <v>0.73794549266247378</v>
      </c>
      <c r="S75" s="3"/>
    </row>
    <row r="76" spans="1:19">
      <c r="B76" s="20" t="s">
        <v>17</v>
      </c>
      <c r="C76" s="21"/>
      <c r="D76" s="47">
        <v>29299</v>
      </c>
      <c r="E76" s="47">
        <v>5563</v>
      </c>
      <c r="F76" s="93">
        <f t="shared" ref="F76:F77" si="24">D76/3.6+E76/3.6</f>
        <v>9683.8888888888887</v>
      </c>
      <c r="G76" s="59">
        <f t="shared" si="19"/>
        <v>51.74469279678268</v>
      </c>
      <c r="H76" s="48">
        <v>3426</v>
      </c>
      <c r="I76" s="82">
        <v>1189</v>
      </c>
      <c r="J76" s="82">
        <v>15485</v>
      </c>
      <c r="K76" s="51">
        <v>13</v>
      </c>
      <c r="L76" s="88">
        <f>SUM(L53:L73,L75)</f>
        <v>6735.4173142908585</v>
      </c>
      <c r="M76" s="55">
        <f>SUM(M53:M73,M75)</f>
        <v>0.35989890403017649</v>
      </c>
      <c r="N76" s="26"/>
      <c r="O76" s="27"/>
    </row>
    <row r="77" spans="1:19">
      <c r="B77" s="19" t="s">
        <v>19</v>
      </c>
      <c r="C77" s="1"/>
      <c r="D77" s="48">
        <v>29369</v>
      </c>
      <c r="E77" s="48">
        <v>5575</v>
      </c>
      <c r="F77" s="93">
        <f t="shared" si="24"/>
        <v>9706.6666666666661</v>
      </c>
      <c r="G77" s="59">
        <f t="shared" si="19"/>
        <v>51.866403106269694</v>
      </c>
      <c r="H77" s="48">
        <v>3434</v>
      </c>
      <c r="I77" s="82">
        <v>1182</v>
      </c>
      <c r="J77" s="82">
        <v>25594</v>
      </c>
      <c r="K77" s="51">
        <v>21.5</v>
      </c>
      <c r="L77" s="88">
        <f>SUM(L53:L74)</f>
        <v>6389.1437293851977</v>
      </c>
      <c r="M77" s="55">
        <f>SUM(M53:M74)</f>
        <v>0.34139619248508368</v>
      </c>
      <c r="O77" s="22"/>
    </row>
    <row r="78" spans="1:19">
      <c r="B78" s="15" t="s">
        <v>60</v>
      </c>
      <c r="C78"/>
      <c r="D78" s="52">
        <v>0.57999999999999996</v>
      </c>
      <c r="E78" s="52">
        <v>0.33</v>
      </c>
      <c r="F78" s="93"/>
      <c r="G78" s="59"/>
      <c r="I78"/>
    </row>
    <row r="79" spans="1:19">
      <c r="B79" s="15" t="s">
        <v>62</v>
      </c>
      <c r="C79"/>
      <c r="D79" s="53">
        <f>D76/D78</f>
        <v>50515.517241379312</v>
      </c>
      <c r="E79" s="53">
        <f>E76/E78</f>
        <v>16857.575757575756</v>
      </c>
      <c r="F79" s="93">
        <f>D79/3.6+E79/3.6</f>
        <v>18714.748055265296</v>
      </c>
      <c r="G79" s="59">
        <f>100*F79/F$79</f>
        <v>100</v>
      </c>
      <c r="I79"/>
    </row>
    <row r="80" spans="1:19">
      <c r="B80" t="s">
        <v>61</v>
      </c>
      <c r="D80" s="13"/>
      <c r="F80" s="13"/>
    </row>
    <row r="81" spans="2:12">
      <c r="B81" s="14" t="s">
        <v>12</v>
      </c>
      <c r="L81" s="89"/>
    </row>
  </sheetData>
  <sheetProtection selectLockedCells="1"/>
  <sortState xmlns:xlrd2="http://schemas.microsoft.com/office/spreadsheetml/2017/richdata2" ref="B53:O75">
    <sortCondition ref="B53:B75"/>
  </sortState>
  <hyperlinks>
    <hyperlink ref="O14" r:id="rId1" xr:uid="{55464875-25E9-FF44-A8EB-BBD61DB5FB73}"/>
    <hyperlink ref="O13" r:id="rId2" xr:uid="{59FEA16B-A5C2-0944-84C4-182890D3D408}"/>
    <hyperlink ref="O26" r:id="rId3" xr:uid="{479D33DF-D7FF-4147-AC65-5441F4BF802F}"/>
    <hyperlink ref="O12" r:id="rId4" xr:uid="{80796004-5CFA-324F-ACEC-3F0477989BDB}"/>
    <hyperlink ref="O33" r:id="rId5" xr:uid="{435131F4-A0ED-E940-8E77-0569A7B40151}"/>
    <hyperlink ref="O34" r:id="rId6" xr:uid="{673023E2-C5F4-924D-9641-50D7F027D113}"/>
    <hyperlink ref="O27" r:id="rId7" xr:uid="{94893EBA-A5FF-3C4D-9215-420EFEF0D578}"/>
    <hyperlink ref="L44" r:id="rId8" xr:uid="{F16D1FFD-B08E-A342-8AC5-94F674392F02}"/>
  </hyperlinks>
  <pageMargins left="0.7" right="0.7" top="0.75" bottom="0.75" header="0.3" footer="0.3"/>
  <pageSetup paperSize="9" scale="29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1F6DD-1D2F-B843-9D43-B524C2D88036}">
  <dimension ref="A1:T21"/>
  <sheetViews>
    <sheetView topLeftCell="C3" zoomScale="179" zoomScaleNormal="179" workbookViewId="0">
      <selection activeCell="J19" sqref="J19"/>
    </sheetView>
  </sheetViews>
  <sheetFormatPr baseColWidth="10" defaultRowHeight="16"/>
  <cols>
    <col min="1" max="1" width="26.1640625" customWidth="1"/>
    <col min="3" max="3" width="13.5" customWidth="1"/>
    <col min="5" max="5" width="11" customWidth="1"/>
    <col min="6" max="6" width="18.5" style="23" customWidth="1"/>
    <col min="7" max="7" width="10" customWidth="1"/>
    <col min="8" max="9" width="14.1640625" customWidth="1"/>
    <col min="10" max="10" width="11.5" customWidth="1"/>
    <col min="11" max="11" width="13" customWidth="1"/>
    <col min="12" max="12" width="13" bestFit="1" customWidth="1"/>
  </cols>
  <sheetData>
    <row r="1" spans="1:20" ht="19">
      <c r="A1" s="11" t="s">
        <v>103</v>
      </c>
    </row>
    <row r="2" spans="1:20">
      <c r="B2" s="2" t="s">
        <v>33</v>
      </c>
      <c r="C2" s="2"/>
      <c r="D2" s="2"/>
    </row>
    <row r="3" spans="1:20" ht="56" customHeight="1">
      <c r="A3" s="2"/>
      <c r="B3" s="32" t="s">
        <v>25</v>
      </c>
      <c r="C3" s="2" t="s">
        <v>31</v>
      </c>
      <c r="D3" s="32" t="s">
        <v>23</v>
      </c>
      <c r="E3" s="32" t="s">
        <v>24</v>
      </c>
      <c r="F3" s="71" t="s">
        <v>34</v>
      </c>
      <c r="G3" s="32" t="s">
        <v>73</v>
      </c>
      <c r="H3" s="32" t="s">
        <v>109</v>
      </c>
      <c r="I3" s="32"/>
      <c r="J3" s="68"/>
      <c r="K3" s="68"/>
      <c r="L3" s="2"/>
      <c r="M3" s="2"/>
      <c r="N3" s="2"/>
      <c r="O3" s="2"/>
      <c r="P3" s="2"/>
      <c r="Q3" s="2"/>
      <c r="R3" s="2"/>
      <c r="S3" s="2"/>
    </row>
    <row r="4" spans="1:20">
      <c r="F4" s="61"/>
      <c r="J4" t="s">
        <v>107</v>
      </c>
    </row>
    <row r="5" spans="1:20">
      <c r="A5" t="s">
        <v>70</v>
      </c>
      <c r="B5" s="4">
        <f>365*Daily_gen*Intensity</f>
        <v>4161</v>
      </c>
      <c r="C5" s="4">
        <f>B5*Intensity</f>
        <v>2496.6</v>
      </c>
      <c r="D5" s="30">
        <f>OwnElecPct*AvYrlykWh*kWh_cost+Feed_in*(PctFedIn*Daily_gen)*365</f>
        <v>1301.075</v>
      </c>
      <c r="E5" s="3">
        <f>UpFrontCost/D5</f>
        <v>3.8429760006148759</v>
      </c>
      <c r="F5" s="38">
        <f>100*D5/UpFrontCost</f>
        <v>26.0215</v>
      </c>
      <c r="G5" s="3">
        <v>2</v>
      </c>
      <c r="H5" s="78">
        <f>(OwnElecPct*DailyUse*kWh_cost-PctFedIn*Daily_gen*Feed_in)/DailyUse</f>
        <v>0.11008441767932037</v>
      </c>
      <c r="I5" s="78"/>
      <c r="J5" s="74">
        <f>System_kW*InstallPrice</f>
        <v>5000</v>
      </c>
      <c r="K5" t="s">
        <v>79</v>
      </c>
    </row>
    <row r="6" spans="1:20">
      <c r="B6" s="4"/>
      <c r="C6" s="4"/>
      <c r="D6" s="30"/>
      <c r="E6" s="3"/>
      <c r="F6" s="61"/>
      <c r="J6">
        <f>System_kW*Hourly_gen</f>
        <v>19</v>
      </c>
      <c r="K6" t="s">
        <v>105</v>
      </c>
    </row>
    <row r="7" spans="1:20">
      <c r="D7" s="72"/>
      <c r="F7" s="61"/>
      <c r="J7" s="66">
        <v>1000</v>
      </c>
      <c r="K7" t="s">
        <v>72</v>
      </c>
      <c r="T7" s="39" t="s">
        <v>32</v>
      </c>
    </row>
    <row r="8" spans="1:20">
      <c r="F8" s="61"/>
      <c r="J8" s="67">
        <v>5</v>
      </c>
      <c r="K8" t="s">
        <v>64</v>
      </c>
    </row>
    <row r="9" spans="1:20">
      <c r="F9" s="153" t="s">
        <v>141</v>
      </c>
      <c r="J9" s="10">
        <v>3.8</v>
      </c>
      <c r="K9" t="s">
        <v>126</v>
      </c>
    </row>
    <row r="10" spans="1:20">
      <c r="F10" s="61"/>
      <c r="J10" s="64">
        <v>0.5</v>
      </c>
      <c r="K10" t="s">
        <v>110</v>
      </c>
    </row>
    <row r="11" spans="1:20">
      <c r="J11" s="65">
        <v>0.08</v>
      </c>
      <c r="K11" t="s">
        <v>14</v>
      </c>
    </row>
    <row r="12" spans="1:20">
      <c r="J12" s="12">
        <v>0.25</v>
      </c>
      <c r="K12" t="s">
        <v>108</v>
      </c>
    </row>
    <row r="14" spans="1:20">
      <c r="J14" s="75">
        <f>'Calculator General'!AvYrlykWh</f>
        <v>9299</v>
      </c>
      <c r="K14" t="s">
        <v>104</v>
      </c>
    </row>
    <row r="15" spans="1:20">
      <c r="J15" s="3">
        <f>AvYrlykWh/365</f>
        <v>25.476712328767125</v>
      </c>
      <c r="K15" t="s">
        <v>112</v>
      </c>
    </row>
    <row r="17" spans="10:11">
      <c r="J17" t="s">
        <v>106</v>
      </c>
    </row>
    <row r="18" spans="10:11">
      <c r="J18" s="76">
        <v>0.24</v>
      </c>
      <c r="K18" t="s">
        <v>15</v>
      </c>
    </row>
    <row r="19" spans="10:11">
      <c r="J19" s="65">
        <v>0.25</v>
      </c>
      <c r="K19" t="s">
        <v>66</v>
      </c>
    </row>
    <row r="20" spans="10:11">
      <c r="J20" s="77">
        <f>(1-J18)</f>
        <v>0.76</v>
      </c>
      <c r="K20" t="s">
        <v>28</v>
      </c>
    </row>
    <row r="21" spans="10:11">
      <c r="J21" s="12">
        <f>1-OwnElecPct</f>
        <v>0.5</v>
      </c>
      <c r="K21" t="s">
        <v>111</v>
      </c>
    </row>
  </sheetData>
  <hyperlinks>
    <hyperlink ref="T7" r:id="rId1" xr:uid="{AFC05365-4032-7241-8474-1AADC42EF21F}"/>
  </hyperlink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B33A1-8BF0-1549-A890-1F6E879D8814}">
  <dimension ref="A3:E40"/>
  <sheetViews>
    <sheetView zoomScale="93" zoomScaleNormal="93" workbookViewId="0">
      <selection activeCell="A3" sqref="A3"/>
    </sheetView>
  </sheetViews>
  <sheetFormatPr baseColWidth="10" defaultRowHeight="16"/>
  <cols>
    <col min="3" max="3" width="13" bestFit="1" customWidth="1"/>
  </cols>
  <sheetData>
    <row r="3" spans="1:5">
      <c r="A3" s="1" t="s">
        <v>137</v>
      </c>
    </row>
    <row r="4" spans="1:5">
      <c r="A4" t="s">
        <v>81</v>
      </c>
      <c r="B4" s="73" t="s">
        <v>82</v>
      </c>
      <c r="E4" t="s">
        <v>116</v>
      </c>
    </row>
    <row r="5" spans="1:5" ht="17">
      <c r="A5">
        <v>0</v>
      </c>
      <c r="B5" s="117">
        <v>-3.1E-2</v>
      </c>
      <c r="C5" s="3">
        <f>(B5-B$5)*100</f>
        <v>0</v>
      </c>
      <c r="E5" s="87" t="s">
        <v>115</v>
      </c>
    </row>
    <row r="6" spans="1:5">
      <c r="A6">
        <v>1</v>
      </c>
      <c r="B6">
        <v>-2.7199999999999998E-2</v>
      </c>
      <c r="C6" s="3">
        <f>(B6-B$5)*100</f>
        <v>0.38000000000000012</v>
      </c>
      <c r="D6" t="s">
        <v>85</v>
      </c>
    </row>
    <row r="7" spans="1:5">
      <c r="A7">
        <v>2</v>
      </c>
      <c r="B7">
        <v>-1.8100000000000002E-2</v>
      </c>
      <c r="C7" s="3">
        <f t="shared" ref="C7:C13" si="0">(B7-B$5)*100</f>
        <v>1.2899999999999998</v>
      </c>
      <c r="D7" t="s">
        <v>85</v>
      </c>
    </row>
    <row r="8" spans="1:5">
      <c r="A8">
        <v>3</v>
      </c>
      <c r="B8" s="7">
        <v>0</v>
      </c>
      <c r="C8" s="3">
        <f t="shared" si="0"/>
        <v>3.1</v>
      </c>
      <c r="D8" t="s">
        <v>85</v>
      </c>
    </row>
    <row r="9" spans="1:5">
      <c r="A9">
        <v>4</v>
      </c>
      <c r="B9">
        <v>4.2299999999999998E-4</v>
      </c>
      <c r="C9" s="3">
        <f t="shared" si="0"/>
        <v>3.1423000000000001</v>
      </c>
      <c r="D9" t="s">
        <v>85</v>
      </c>
    </row>
    <row r="10" spans="1:5">
      <c r="A10">
        <v>5</v>
      </c>
      <c r="B10">
        <v>0.02</v>
      </c>
      <c r="C10" s="3">
        <f t="shared" si="0"/>
        <v>5.1000000000000005</v>
      </c>
      <c r="D10" t="s">
        <v>85</v>
      </c>
    </row>
    <row r="11" spans="1:5">
      <c r="A11">
        <v>6</v>
      </c>
      <c r="B11">
        <v>2.3699999999999999E-2</v>
      </c>
      <c r="C11" s="3">
        <f t="shared" si="0"/>
        <v>5.47</v>
      </c>
      <c r="D11" t="s">
        <v>85</v>
      </c>
    </row>
    <row r="12" spans="1:5">
      <c r="A12">
        <v>7</v>
      </c>
      <c r="B12">
        <v>9.3600000000000003E-2</v>
      </c>
      <c r="C12" s="3">
        <f t="shared" si="0"/>
        <v>12.46</v>
      </c>
      <c r="D12" t="s">
        <v>85</v>
      </c>
    </row>
    <row r="13" spans="1:5">
      <c r="A13" t="s">
        <v>83</v>
      </c>
      <c r="B13">
        <v>2.7300000000000001E-2</v>
      </c>
      <c r="C13" s="3">
        <f t="shared" si="0"/>
        <v>5.83</v>
      </c>
      <c r="D13" t="s">
        <v>84</v>
      </c>
    </row>
    <row r="15" spans="1:5">
      <c r="A15" t="s">
        <v>138</v>
      </c>
    </row>
    <row r="16" spans="1:5">
      <c r="A16" t="s">
        <v>81</v>
      </c>
      <c r="B16" s="73" t="s">
        <v>82</v>
      </c>
    </row>
    <row r="17" spans="1:4">
      <c r="A17">
        <v>0</v>
      </c>
      <c r="B17" s="117">
        <v>-2.81E-2</v>
      </c>
      <c r="C17" s="3">
        <v>0</v>
      </c>
    </row>
    <row r="18" spans="1:4">
      <c r="A18">
        <v>1</v>
      </c>
      <c r="B18" s="117">
        <v>-2.3800000000000002E-2</v>
      </c>
      <c r="C18" s="3">
        <f>(B18-B$17)*100</f>
        <v>0.42999999999999983</v>
      </c>
      <c r="D18" t="s">
        <v>85</v>
      </c>
    </row>
    <row r="19" spans="1:4">
      <c r="A19">
        <v>2</v>
      </c>
      <c r="B19" s="117">
        <v>-1.06E-2</v>
      </c>
      <c r="C19" s="3">
        <f t="shared" ref="C19:C25" si="1">(B19-B$17)*100</f>
        <v>1.7500000000000002</v>
      </c>
    </row>
    <row r="20" spans="1:4">
      <c r="A20">
        <v>3</v>
      </c>
      <c r="B20" s="4">
        <v>0</v>
      </c>
      <c r="C20" s="3">
        <f t="shared" si="1"/>
        <v>2.81</v>
      </c>
      <c r="D20" t="s">
        <v>85</v>
      </c>
    </row>
    <row r="21" spans="1:4">
      <c r="A21">
        <v>4</v>
      </c>
      <c r="B21" s="117">
        <v>6.3E-3</v>
      </c>
      <c r="C21" s="3">
        <f t="shared" si="1"/>
        <v>3.44</v>
      </c>
    </row>
    <row r="22" spans="1:4">
      <c r="A22">
        <v>5</v>
      </c>
      <c r="B22" s="117">
        <v>3.4799999999999998E-2</v>
      </c>
      <c r="C22" s="3">
        <f t="shared" si="1"/>
        <v>6.29</v>
      </c>
      <c r="D22" t="s">
        <v>85</v>
      </c>
    </row>
    <row r="23" spans="1:4">
      <c r="A23">
        <v>6</v>
      </c>
      <c r="B23" s="117">
        <v>3.61E-2</v>
      </c>
      <c r="C23" s="3">
        <f t="shared" si="1"/>
        <v>6.4200000000000008</v>
      </c>
      <c r="D23" t="s">
        <v>85</v>
      </c>
    </row>
    <row r="24" spans="1:4">
      <c r="A24">
        <v>7</v>
      </c>
      <c r="B24" s="117">
        <v>2.63E-2</v>
      </c>
      <c r="C24" s="3">
        <f t="shared" si="1"/>
        <v>5.44</v>
      </c>
      <c r="D24" t="s">
        <v>85</v>
      </c>
    </row>
    <row r="25" spans="1:4">
      <c r="A25" t="s">
        <v>83</v>
      </c>
      <c r="B25" s="117">
        <v>3.49E-2</v>
      </c>
      <c r="C25" s="3">
        <f t="shared" si="1"/>
        <v>6.3</v>
      </c>
      <c r="D25" t="s">
        <v>85</v>
      </c>
    </row>
    <row r="31" spans="1:4">
      <c r="A31" t="s">
        <v>87</v>
      </c>
    </row>
    <row r="33" spans="1:4">
      <c r="A33" t="s">
        <v>90</v>
      </c>
      <c r="C33" s="30">
        <v>498019</v>
      </c>
      <c r="D33" s="6" t="s">
        <v>102</v>
      </c>
    </row>
    <row r="34" spans="1:4">
      <c r="A34" t="s">
        <v>88</v>
      </c>
      <c r="C34" s="30">
        <v>494905</v>
      </c>
      <c r="D34" s="6" t="s">
        <v>86</v>
      </c>
    </row>
    <row r="35" spans="1:4">
      <c r="A35" t="s">
        <v>91</v>
      </c>
      <c r="C35" s="30">
        <v>641459</v>
      </c>
      <c r="D35" s="6" t="s">
        <v>98</v>
      </c>
    </row>
    <row r="36" spans="1:4">
      <c r="A36" t="s">
        <v>89</v>
      </c>
      <c r="C36" s="30">
        <v>604837</v>
      </c>
      <c r="D36" s="6" t="s">
        <v>97</v>
      </c>
    </row>
    <row r="37" spans="1:4">
      <c r="A37" t="s">
        <v>92</v>
      </c>
      <c r="C37" s="30">
        <v>351915</v>
      </c>
      <c r="D37" s="6" t="s">
        <v>99</v>
      </c>
    </row>
    <row r="38" spans="1:4">
      <c r="A38" t="s">
        <v>93</v>
      </c>
      <c r="C38" s="30">
        <v>230863</v>
      </c>
      <c r="D38" s="6" t="s">
        <v>100</v>
      </c>
    </row>
    <row r="39" spans="1:4">
      <c r="A39" t="s">
        <v>94</v>
      </c>
      <c r="C39" s="30">
        <v>678278</v>
      </c>
      <c r="D39" s="6" t="s">
        <v>101</v>
      </c>
    </row>
    <row r="40" spans="1:4">
      <c r="A40" t="s">
        <v>95</v>
      </c>
      <c r="C40" t="s">
        <v>96</v>
      </c>
    </row>
  </sheetData>
  <sortState xmlns:xlrd2="http://schemas.microsoft.com/office/spreadsheetml/2017/richdata2" ref="A33:E39">
    <sortCondition ref="A33:A39"/>
  </sortState>
  <hyperlinks>
    <hyperlink ref="D37" r:id="rId1" xr:uid="{941570FD-677D-2B43-B19B-FACEBFD0192F}"/>
    <hyperlink ref="D35" r:id="rId2" xr:uid="{0B359903-D035-1447-A5D5-4FFFA7DEA3B8}"/>
    <hyperlink ref="D36" r:id="rId3" xr:uid="{87081289-E600-B84C-82C5-13277412E12C}"/>
    <hyperlink ref="D34" r:id="rId4" xr:uid="{1ECA8B19-08D2-C743-8A92-FCA866A9FD55}"/>
    <hyperlink ref="D38" r:id="rId5" xr:uid="{79A9C69C-D50C-7149-8349-9645437F5F36}"/>
    <hyperlink ref="D39" r:id="rId6" xr:uid="{503838B9-5D9E-DB49-9DBB-C1FC9CAA8957}"/>
    <hyperlink ref="D33" r:id="rId7" xr:uid="{ADB46169-4335-C742-9766-FD8E10D2F20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79711-0074-794A-85DB-6E5CE3548A7A}">
  <dimension ref="A1:A5"/>
  <sheetViews>
    <sheetView workbookViewId="0">
      <selection activeCell="D26" sqref="D26"/>
    </sheetView>
  </sheetViews>
  <sheetFormatPr baseColWidth="10" defaultRowHeight="16"/>
  <sheetData>
    <row r="1" spans="1:1">
      <c r="A1" s="1" t="s">
        <v>146</v>
      </c>
    </row>
    <row r="3" spans="1:1">
      <c r="A3" t="s">
        <v>147</v>
      </c>
    </row>
    <row r="5" spans="1:1">
      <c r="A5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17</vt:i4>
      </vt:variant>
    </vt:vector>
  </HeadingPairs>
  <TitlesOfParts>
    <vt:vector size="21" baseType="lpstr">
      <vt:lpstr>Calculator General</vt:lpstr>
      <vt:lpstr>Calculator Solar</vt:lpstr>
      <vt:lpstr>EER premium</vt:lpstr>
      <vt:lpstr>Version control</vt:lpstr>
      <vt:lpstr>'Calculator General'!AvYrlykWh</vt:lpstr>
      <vt:lpstr>'Calculator Solar'!AvYrlykWh</vt:lpstr>
      <vt:lpstr>Daily_gen</vt:lpstr>
      <vt:lpstr>DailyUse</vt:lpstr>
      <vt:lpstr>Feed_in</vt:lpstr>
      <vt:lpstr>GridPct</vt:lpstr>
      <vt:lpstr>Hourly_gen</vt:lpstr>
      <vt:lpstr>InstallPrice</vt:lpstr>
      <vt:lpstr>Intensity</vt:lpstr>
      <vt:lpstr>'Calculator Solar'!kWh_cost</vt:lpstr>
      <vt:lpstr>kWh_cost</vt:lpstr>
      <vt:lpstr>kWh_solar</vt:lpstr>
      <vt:lpstr>NswCleanPct</vt:lpstr>
      <vt:lpstr>OwnElecPct</vt:lpstr>
      <vt:lpstr>PctFedIn</vt:lpstr>
      <vt:lpstr>System_kW</vt:lpstr>
      <vt:lpstr>UpFrontCost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Jack Egan</cp:lastModifiedBy>
  <cp:lastPrinted>2021-01-19T20:46:13Z</cp:lastPrinted>
  <dcterms:created xsi:type="dcterms:W3CDTF">2020-07-11T05:04:15Z</dcterms:created>
  <dcterms:modified xsi:type="dcterms:W3CDTF">2026-05-20T23:53:24Z</dcterms:modified>
</cp:coreProperties>
</file>